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rsjijsselland-my.sharepoint.com/personal/g_lezwijn_rsj-ijsselland_nl/Documents/"/>
    </mc:Choice>
  </mc:AlternateContent>
  <xr:revisionPtr revIDLastSave="0" documentId="8_{EE608F96-B52A-461C-B7BA-DED655FBAFBF}" xr6:coauthVersionLast="47" xr6:coauthVersionMax="47" xr10:uidLastSave="{00000000-0000-0000-0000-000000000000}"/>
  <workbookProtection workbookAlgorithmName="SHA-512" workbookHashValue="vOzoJ8ROX8mQJ7rl0P8FbEJEb1JjOiCu22JsxeBF7PUuP3IQm5ECQOJJXQudazRfUKIND9yOoWyQkHhAYOvOow==" workbookSaltValue="VK1CCc1cXx10LC0SA3zdEQ==" workbookSpinCount="100000" lockStructure="1"/>
  <bookViews>
    <workbookView xWindow="-120" yWindow="-120" windowWidth="29040" windowHeight="15840" activeTab="2" xr2:uid="{B48004E5-3425-44E8-8DE8-5B23DA34477A}"/>
  </bookViews>
  <sheets>
    <sheet name="Versiebeheer" sheetId="4" r:id="rId1"/>
    <sheet name="Invulinstructie" sheetId="6" r:id="rId2"/>
    <sheet name="Rekenhulp ambulant budget" sheetId="1" r:id="rId3"/>
    <sheet name="Blad1" sheetId="8" state="hidden" r:id="rId4"/>
    <sheet name="Testbevindingen" sheetId="5" state="hidden" r:id="rId5"/>
    <sheet name="Lijsten" sheetId="2" state="hidden" r:id="rId6"/>
    <sheet name="Rekentarief" sheetId="7" state="hidden" r:id="rId7"/>
  </sheets>
  <definedNames>
    <definedName name="_xlnm._FilterDatabase" localSheetId="4" hidden="1">Testbevindingen!$A$2:$J$102</definedName>
    <definedName name="_xlnm.Print_Area" localSheetId="2">'Rekenhulp ambulant budget'!$B$1:$K$30</definedName>
    <definedName name="dag">Lijsten!$H$3:$H$4</definedName>
    <definedName name="duurzaam">Lijsten!$E$3:$E$6</definedName>
    <definedName name="DuurzaamJa">Lijsten!$N$3:$N$3</definedName>
    <definedName name="eenheid">Lijsten!$K$17:$K$24</definedName>
    <definedName name="herstel">Lijsten!$E$3:$E$6</definedName>
    <definedName name="Herstelja">Lijsten!$P$3:$P$9</definedName>
    <definedName name="Perceel">Lijsten!$D$3:$D$7</definedName>
    <definedName name="rekentarief">Lijsten!$B$3:$B$6</definedName>
    <definedName name="tijd">Lijsten!$J$3:$J$4</definedName>
    <definedName name="vannaar">Lijsten!$L$17:$R$24</definedName>
    <definedName name="vannaar1">Lijsten!$L$16:$S$16</definedName>
    <definedName name="vannaara">Lijsten!$K$17:$K$24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H21" i="1"/>
  <c r="C23" i="1"/>
  <c r="H13" i="1"/>
  <c r="K19" i="1"/>
  <c r="C18" i="1"/>
  <c r="E15" i="1"/>
  <c r="E6" i="1" l="1"/>
  <c r="D2" i="1" l="1"/>
  <c r="H14" i="1"/>
  <c r="D23" i="1"/>
  <c r="K24" i="1" s="1"/>
  <c r="D30" i="1" l="1"/>
  <c r="T19" i="2"/>
  <c r="H23" i="1"/>
  <c r="H27" i="1"/>
  <c r="H17" i="1"/>
  <c r="H22" i="1"/>
  <c r="R19" i="2"/>
  <c r="R18" i="2"/>
  <c r="Q23" i="2"/>
  <c r="Q19" i="2"/>
  <c r="Q18" i="2"/>
  <c r="Q17" i="2"/>
  <c r="P23" i="2"/>
  <c r="P22" i="2"/>
  <c r="P19" i="2"/>
  <c r="P18" i="2"/>
  <c r="P17" i="2"/>
  <c r="O23" i="2"/>
  <c r="O22" i="2"/>
  <c r="O21" i="2"/>
  <c r="O19" i="2"/>
  <c r="O18" i="2"/>
  <c r="O17" i="2"/>
  <c r="N23" i="2"/>
  <c r="N22" i="2"/>
  <c r="N21" i="2"/>
  <c r="N20" i="2"/>
  <c r="L22" i="2"/>
  <c r="L21" i="2"/>
  <c r="M23" i="2"/>
  <c r="M22" i="2"/>
  <c r="M21" i="2"/>
  <c r="M20" i="2"/>
  <c r="K23" i="1" l="1"/>
  <c r="V4" i="2"/>
  <c r="J13" i="2"/>
  <c r="J12" i="2"/>
  <c r="L6" i="2"/>
  <c r="L9" i="2"/>
  <c r="L7" i="2"/>
  <c r="L8" i="2"/>
  <c r="H16" i="1"/>
  <c r="H15" i="1"/>
  <c r="C27" i="1"/>
  <c r="K25" i="1" l="1"/>
  <c r="D28" i="1"/>
  <c r="D27" i="1"/>
  <c r="K16" i="1" s="1"/>
  <c r="K18" i="1" l="1"/>
  <c r="D29" i="1"/>
  <c r="V3" i="2" s="1"/>
  <c r="V5" i="2" s="1"/>
  <c r="K26" i="1" s="1"/>
  <c r="M6" i="2"/>
  <c r="K20" i="1" l="1"/>
  <c r="A18" i="4" l="1"/>
  <c r="A17" i="4"/>
  <c r="K22" i="1"/>
  <c r="K17" i="1"/>
  <c r="K21" i="1"/>
  <c r="K15" i="1"/>
</calcChain>
</file>

<file path=xl/sharedStrings.xml><?xml version="1.0" encoding="utf-8"?>
<sst xmlns="http://schemas.openxmlformats.org/spreadsheetml/2006/main" count="317" uniqueCount="232">
  <si>
    <t>Versiebeheer</t>
  </si>
  <si>
    <t>Het model waarschuwt vanaf 1 december dat de tarieven moeten worden aangepast.</t>
  </si>
  <si>
    <t>geldig tot</t>
  </si>
  <si>
    <t>rekentarief</t>
  </si>
  <si>
    <t>intensiteit</t>
  </si>
  <si>
    <t>Rekenhulp standaardbudget 1</t>
  </si>
  <si>
    <t>Rekenhulp standaardbudget 2</t>
  </si>
  <si>
    <t>Rekenhulp standaardbudget 3</t>
  </si>
  <si>
    <t>Rekenhulp standaardbudget 4</t>
  </si>
  <si>
    <t>Rekenhulp standaardbudget 5</t>
  </si>
  <si>
    <t>Rekenhulp standaardbudget 6</t>
  </si>
  <si>
    <t>Rekenhulp standaardbudget 7</t>
  </si>
  <si>
    <t>Rekenhulp standaardbudget 8</t>
  </si>
  <si>
    <t>Rekenhulp standaardbudget 9</t>
  </si>
  <si>
    <t>Rekenhulp standaardbudget 10</t>
  </si>
  <si>
    <t>in te vullen</t>
  </si>
  <si>
    <t>Alle grijze velden invullen!</t>
  </si>
  <si>
    <t>ingevuld</t>
  </si>
  <si>
    <t>Budgetbepaling voor duurzaam of herstel?</t>
  </si>
  <si>
    <t>niet invulbaar</t>
  </si>
  <si>
    <t>Toewijzing met groepsaanbod?</t>
  </si>
  <si>
    <t>onjuiste invoer</t>
  </si>
  <si>
    <t>waarschuwing</t>
  </si>
  <si>
    <t>In te vullen gegevens</t>
  </si>
  <si>
    <t>Intensiteit groepsaanbod</t>
  </si>
  <si>
    <t>Budget groepsaanbod</t>
  </si>
  <si>
    <t>Resultaten van hierboven ingevulde gegevens</t>
  </si>
  <si>
    <t>(Wordt automatisch gevuld)</t>
  </si>
  <si>
    <t>Uurtarief groepsaanbod</t>
  </si>
  <si>
    <t>Rekentarief ambulante jeugdhulp</t>
  </si>
  <si>
    <t>1​</t>
  </si>
  <si>
    <t>2​</t>
  </si>
  <si>
    <t>3​</t>
  </si>
  <si>
    <t>4​</t>
  </si>
  <si>
    <t>5​</t>
  </si>
  <si>
    <t>6​</t>
  </si>
  <si>
    <t>7​</t>
  </si>
  <si>
    <t>8​</t>
  </si>
  <si>
    <t>dag</t>
  </si>
  <si>
    <t>week</t>
  </si>
  <si>
    <t>vier weken</t>
  </si>
  <si>
    <t>maand</t>
  </si>
  <si>
    <t>kwartaal</t>
  </si>
  <si>
    <t>halfjaar</t>
  </si>
  <si>
    <t>jaar</t>
  </si>
  <si>
    <t>beschikking</t>
  </si>
  <si>
    <t>groep</t>
  </si>
  <si>
    <t>tijd</t>
  </si>
  <si>
    <t>dagen</t>
  </si>
  <si>
    <t>dagdelen</t>
  </si>
  <si>
    <t>Duur toewijzing ambulant (bij duurzaam altijd 1 jaar)</t>
  </si>
  <si>
    <t>Duur toewijzing groepsaanbod (bij duurzaam 1 jaar)</t>
  </si>
  <si>
    <t>Duurzaamja</t>
  </si>
  <si>
    <t>Herstelja</t>
  </si>
  <si>
    <t>eenheid van beschikking</t>
  </si>
  <si>
    <t>eenheid van hulpinzet</t>
  </si>
  <si>
    <t>weken</t>
  </si>
  <si>
    <t>maanden</t>
  </si>
  <si>
    <t>kwartalen</t>
  </si>
  <si>
    <t>halfjaren</t>
  </si>
  <si>
    <t>uur per dag</t>
  </si>
  <si>
    <t>uur per week</t>
  </si>
  <si>
    <t>uur per vier weken</t>
  </si>
  <si>
    <t>uur per maand</t>
  </si>
  <si>
    <t>uur per kwartaal</t>
  </si>
  <si>
    <t>uur per halfjaar</t>
  </si>
  <si>
    <t>uur per jaar</t>
  </si>
  <si>
    <t>groepeen</t>
  </si>
  <si>
    <t>uren per</t>
  </si>
  <si>
    <t>minuten per</t>
  </si>
  <si>
    <t>eenheden</t>
  </si>
  <si>
    <t>periodes van vier weken</t>
  </si>
  <si>
    <t>Uren groepsaanbod hele beschikking</t>
  </si>
  <si>
    <t>Aangepast in versie 1.1 ten opzichte van versie 1.0</t>
  </si>
  <si>
    <t>Perceel 1</t>
  </si>
  <si>
    <t>Perceel 2</t>
  </si>
  <si>
    <t>Perceel 3</t>
  </si>
  <si>
    <t>Perceel 4</t>
  </si>
  <si>
    <t>Perceel 5</t>
  </si>
  <si>
    <t>perceel</t>
  </si>
  <si>
    <t>Standaardbudgetten</t>
  </si>
  <si>
    <t>Cliëntnummer of cliëntkenmerk</t>
  </si>
  <si>
    <t>(optie)</t>
  </si>
  <si>
    <t>optioneel</t>
  </si>
  <si>
    <t xml:space="preserve">Nr. </t>
  </si>
  <si>
    <t>Melder</t>
  </si>
  <si>
    <t>Bevinding</t>
  </si>
  <si>
    <t xml:space="preserve">Cel </t>
  </si>
  <si>
    <t>Status</t>
  </si>
  <si>
    <t>Voorstel</t>
  </si>
  <si>
    <t>Ambulant groepsaanbod</t>
  </si>
  <si>
    <t>Ambulant individueel</t>
  </si>
  <si>
    <t>Gosse</t>
  </si>
  <si>
    <t>Is dit kleurenblind proof?</t>
  </si>
  <si>
    <t>de gekleurde cellen</t>
  </si>
  <si>
    <t xml:space="preserve">E6, D21 en D24 (ook checken bij E21! </t>
  </si>
  <si>
    <t>Macro werkt niet op nr. 6 onder eenheden, nr. 9 en nr. 12. En de andere dropdown menus worden ook niet gedeleted</t>
  </si>
  <si>
    <t>Het is onduidelijk (omdat de macro niet goed de dropdown menus  verwijdert) dat dit opties zijn die je kan wijzigen. Ik kan me voorstellen dat als dit bestand lokaal staat en al een paar keer is ingevuld hij altijd zal blijven staan op bepaalde frequenties en een medewerker niet weet dat dit aangepast kan worden!</t>
  </si>
  <si>
    <t>Kunnen / willen we een max toevoegen aan 'Gewenst rekentarief o.b.v. verwachte disciplinemix (€)' om eventuele foutjes te voorkomen?</t>
  </si>
  <si>
    <t>D24</t>
  </si>
  <si>
    <t>Vraag</t>
  </si>
  <si>
    <t>Renske</t>
  </si>
  <si>
    <t>Toewijzing met individuele jeugdhulp?</t>
  </si>
  <si>
    <t>Toelichting</t>
  </si>
  <si>
    <t>Invulinstructie Rekenhulp ambulant budget</t>
  </si>
  <si>
    <t>Vraagnummer</t>
  </si>
  <si>
    <t>RvdZ</t>
  </si>
  <si>
    <t xml:space="preserve">Schatting declarabele cliëntgebonden tijd ambulant individueel </t>
  </si>
  <si>
    <t>Duur toewijzing groepsaanbod en ambulant combineren tot 1 vraag?</t>
  </si>
  <si>
    <t>6 en 9</t>
  </si>
  <si>
    <t>Tariefklasse aanbieder (perceel 1 t/m 5)</t>
  </si>
  <si>
    <t xml:space="preserve">Vul hier de tariefklasse in waar de betreffende aanbieder voor is gecontracteerd. </t>
  </si>
  <si>
    <t>Bijlage XIV - Declaratieregels jeugdhulp regio IJsselland:
Cliëntgebonden tijd bestaat uit: 
• Direct cliëntgebonden tijd. Tijd besteed in directe interactie met een toegewezen cliënt of zijn/haar systeem (zoals: een (telefoon)gesprek, chat, videogesprek, app-gesprek, emailcontact).
• Indirecte cliëntgebonden tijd. Tijd besteed zonder aanwezigheid van een toegewezen cliënt of zijn/haar systeem (opstellen Hulpverleningsplan, cliëntgebonden overleg,  cliëntgebonden registraties waaronder het Elektronisch cliëntdossier en de Routine Outcome Monitoring, reistijd naar de cliënt met een maximum van 45 minuten per gesprek).
• Tijd besteed aan crisissituaties in de periode tussen de melding van de crisis en de Toewijzing voor (crisis)zorg, voor zover deze tijd niet al wordt vergoed via beschikbaarheids- of bereikbaarheidsvergoedingen.</t>
  </si>
  <si>
    <t>Budget individuele jeugdhulp</t>
  </si>
  <si>
    <t>Ambulant budget totaal</t>
  </si>
  <si>
    <t>Keuze van eenheden toegevoegd bij vragen over omvang (Q)</t>
  </si>
  <si>
    <t>Overzicht met de standaardbudgetten toegevoegd</t>
  </si>
  <si>
    <t>Tarieven individuele jeugdhulp op basis van 5 tariefklassen / percelen</t>
  </si>
  <si>
    <t xml:space="preserve">D19 is grijs, grijs = invullen maar deze cel hoeft niet ingevuld te worden. </t>
  </si>
  <si>
    <t>D19</t>
  </si>
  <si>
    <t>D21</t>
  </si>
  <si>
    <t>ME/MtB</t>
  </si>
  <si>
    <t>het lichte tarief van 70 euro per uur lijkt verdwenen?</t>
  </si>
  <si>
    <t>graag afwegingskader voor groepszwaarte</t>
  </si>
  <si>
    <t>regel 12: wanneer van toepassing?</t>
  </si>
  <si>
    <t>geen clientnaam ivm privacy</t>
  </si>
  <si>
    <t>Saskia</t>
  </si>
  <si>
    <t>Als je maanden invult en inzet per week rekent hij geen juist totaal uit</t>
  </si>
  <si>
    <t>D15,16 20, 21</t>
  </si>
  <si>
    <t>Uitleg van betekenis groepsaanbod licht, middel etc.</t>
  </si>
  <si>
    <t>D18</t>
  </si>
  <si>
    <t>Bij wissen van formulier blijft duur toewijzing ambulant staan</t>
  </si>
  <si>
    <t>D21 E21</t>
  </si>
  <si>
    <t>Algemeen</t>
  </si>
  <si>
    <t>Wie</t>
  </si>
  <si>
    <t>Actiehouder</t>
  </si>
  <si>
    <t>Rekenhulp</t>
  </si>
  <si>
    <t>Invulinstructie</t>
  </si>
  <si>
    <t xml:space="preserve">Functie verwijderen en handmatig leeg maken of nieuwe versie gebruiken </t>
  </si>
  <si>
    <t>In een volgende versie kleurenblind proof maken</t>
  </si>
  <si>
    <t>on hold</t>
  </si>
  <si>
    <t>1.1</t>
  </si>
  <si>
    <t>Deze cellen een apart kleurtje geven en dit opnemen in de legenda. Herstellen.</t>
  </si>
  <si>
    <t>Alle cellen onder E en F of alleen E15 en 16</t>
  </si>
  <si>
    <t>afvoeren</t>
  </si>
  <si>
    <t xml:space="preserve">Geen maximum omdat overleg tussen aanbieder en toegang altijd plaats moet vinden. </t>
  </si>
  <si>
    <t>D14 en D16 geel maken</t>
  </si>
  <si>
    <t xml:space="preserve">Testen als beveiliging er weer op staat. </t>
  </si>
  <si>
    <t>duurzaam geeft: D21 wat wil je in voor een half jaar? 0,5 geef een foutmelding, wanneer anders dan 1 jaar geeft rood, niet wenselijk. Korter mag, enkel langer niet. max 1 jaar, korter geeft foutmelding. Niet wenselijk echter een foutmelding is niet wenselijk.</t>
  </si>
  <si>
    <t xml:space="preserve">Budgetten vallen deels weg wanneer regel 8 tm 30 in beeld staan =  de regels die ingevuld dienen te worden.  Mogelijk kan de indeling iets aangepast worden zodat de budgetten goed zichtbaar zijn gezamenlijk met het antwoord ( stappen aan het einde) </t>
  </si>
  <si>
    <t>Advies standaaardbudget nr. en bedrag toevoegen onderaan de tabel rechtsonder</t>
  </si>
  <si>
    <t>Volgende versie</t>
  </si>
  <si>
    <t>Vormgeving verbeteren in volgende versie</t>
  </si>
  <si>
    <t>Zie invulinstructie</t>
  </si>
  <si>
    <t>D11</t>
  </si>
  <si>
    <t>Zie RTP en invulinstructie</t>
  </si>
  <si>
    <t>Tijdelijke status</t>
  </si>
  <si>
    <t>Gereed</t>
  </si>
  <si>
    <t>Aanbieder of gemeente</t>
  </si>
  <si>
    <t>Hoe - technisch</t>
  </si>
  <si>
    <t xml:space="preserve">Verwijzing naar contractuele inkoopafspraak </t>
  </si>
  <si>
    <t xml:space="preserve">Groepsaanbod is elke vorm van groepshulpverlening die geboden wordt aan de jeugdige en is inhoudelijk niet beschreven. Hierin zijn de voorzieningen met oude termen zoals dagbesteding en dagbehandeling veralgemeniseerd naar één definitie: groepsaanbod. Het ligt voor de hand dat vormen van dagbesteding méér zullen vallen onder groepsaanbod licht en groepsaanbod middel, terwijl de groepen dagbehandeling vaker zullen vallen onder groepsaanbod middelzwaar en zwaar.
Groepsaanbod is opgebouwd uit vier intensiteiten met elk een eigen uurtarief. De intensiteit wordt onder andere bepaald door het gemiddeld aantal jeugdigen in de groep (groepsgrootte) en de hoeveelheid begeleiding op de groep. Voor iedere (fysieke of online) groep is door de aanbieder de begeleidingsintensiteit vastgesteld. Deze groepen worden toegevoegd aan de Beschikbaarheidswijzer om de matching tussen vraag en aanbod in het verwijsproces te ondersteunen. </t>
  </si>
  <si>
    <t>Inkoopdocument paragraaf 8.5.3 en RTP paragraaf 2.3.2.</t>
  </si>
  <si>
    <t>Vul hier een afwijkend uurtarief in als op voorhand duidelijk is dat de inzet een andere gemiddeld uurtarief zal vragen. Dit kan lager en hoger zijn. De feitelijke inzet van de medewerkers bij de aanbieders zal worden gedeclareerd.</t>
  </si>
  <si>
    <t xml:space="preserve">n.v.t. </t>
  </si>
  <si>
    <t xml:space="preserve">Apart houden voor de berekening en toevoegen aan de invulinstructie dat de toewijzing maar 1 duur heeft. </t>
  </si>
  <si>
    <t xml:space="preserve">Klopt, omdat dit is vervangen door het gemiddelde tarief per perceel, met de mogelijkheid om naar beneden en boven aan te passen. </t>
  </si>
  <si>
    <t>Dat wordt niet gevraagd. Was gevoelig ivm online versie.</t>
  </si>
  <si>
    <t>Uitzoeken en repareren: reconstructie test door Saskia</t>
  </si>
  <si>
    <t>1. Specialistische jeugdhulpaanbieder (SJA)</t>
  </si>
  <si>
    <t>2. Systeemaanbieder (SA)</t>
  </si>
  <si>
    <t>3. Aanbieder GGZ 1</t>
  </si>
  <si>
    <t>4. Aanbieder GGZ 2 met verblijf</t>
  </si>
  <si>
    <t>5. Aanbieder GGZ 3 met academische functie</t>
  </si>
  <si>
    <t>50411 Groepsaanbod licht</t>
  </si>
  <si>
    <t>50412 Groepsaanbod middel</t>
  </si>
  <si>
    <t>50413 Groepsaanbod middelzwaar</t>
  </si>
  <si>
    <t>50414 Groepsaanbod zwaar</t>
  </si>
  <si>
    <t>Tarieven in ambulant vervangen naar aanbieder niveau</t>
  </si>
  <si>
    <t>Volgende versie wel bespreken!</t>
  </si>
  <si>
    <t>Bestand lokaal beschikbaar gemaakt i.p.v. online versie met meerdere tabbladen</t>
  </si>
  <si>
    <t>Vraag toegevoegd: cliëntnummer / kenmerk</t>
  </si>
  <si>
    <t>Afwijkend rekentarief o.b.v. verwachte functiemix</t>
  </si>
  <si>
    <r>
      <t>Gemiddeld aantal aanwezigheids</t>
    </r>
    <r>
      <rPr>
        <i/>
        <u/>
        <sz val="10"/>
        <color theme="1"/>
        <rFont val="Calibri"/>
        <family val="2"/>
      </rPr>
      <t>uren per dag</t>
    </r>
    <r>
      <rPr>
        <sz val="10"/>
        <color theme="1"/>
        <rFont val="Calibri"/>
        <family val="2"/>
      </rPr>
      <t xml:space="preserve"> groepsaanbod</t>
    </r>
  </si>
  <si>
    <r>
      <t>Aanwezigheids</t>
    </r>
    <r>
      <rPr>
        <i/>
        <u/>
        <sz val="10"/>
        <color theme="1"/>
        <rFont val="Calibri"/>
        <family val="2"/>
        <scheme val="minor"/>
      </rPr>
      <t>dagen</t>
    </r>
    <r>
      <rPr>
        <sz val="10"/>
        <color theme="1"/>
        <rFont val="Calibri"/>
        <family val="2"/>
        <scheme val="minor"/>
      </rPr>
      <t xml:space="preserve"> bij het groepsaanbod</t>
    </r>
  </si>
  <si>
    <t>Voorafgaand aan het overleg tussen aanbieder en gemeente of acceptatie door aanbieder</t>
  </si>
  <si>
    <t>Na downloaden van lege versie deze 'Opslaan als' in Excel voor het invullen en bewaren van de ingevulde versie voor de jeugdige</t>
  </si>
  <si>
    <t>Inkoopdocument paragraaf 8.4</t>
  </si>
  <si>
    <t xml:space="preserve">Een duurzaam budget voor langdurige hulpverleningstrajecten (begeleidingsvragen) en een herstelbudget voor hulpverleningstrajecten die eindig zijn (behandelvragen). </t>
  </si>
  <si>
    <t>Is groepsaanbod mogelijk binnen de toewijzing?</t>
  </si>
  <si>
    <t>Is individuele jeugdhulp mogelijk binnen de toewijzing?</t>
  </si>
  <si>
    <t>Naar eigen keuze of lokale afspraak in te vullen.</t>
  </si>
  <si>
    <t>Inschatting aantal dagen per eenheid.</t>
  </si>
  <si>
    <t>Inschatting aantal uren per dag.</t>
  </si>
  <si>
    <t>Inschatting benodigde duur.</t>
  </si>
  <si>
    <t>Wat</t>
  </si>
  <si>
    <t>Doel</t>
  </si>
  <si>
    <t>*Vraag 13: gemiddeld uurtarief per tariefklasse</t>
  </si>
  <si>
    <t>Datumstempel en versienummer toegevoegd aan de resultaattabel</t>
  </si>
  <si>
    <t>Vraag toegevoegd: correctie tarief naar aanleiding van verwachte afwijkende functiemix</t>
  </si>
  <si>
    <t>Tarief 2023</t>
  </si>
  <si>
    <t>Tariefgroep 1</t>
  </si>
  <si>
    <t>Tariefgroep 2</t>
  </si>
  <si>
    <t>Tariefgroep 3</t>
  </si>
  <si>
    <t>Tariefgroep 4</t>
  </si>
  <si>
    <t>Tariefgroep 5</t>
  </si>
  <si>
    <t>Tariefgroep 6</t>
  </si>
  <si>
    <t>Tariefgroep 7</t>
  </si>
  <si>
    <t>Invulinstructie toegevoegd als 2e tabblad</t>
  </si>
  <si>
    <t>Rekenhulp ambulant budget</t>
  </si>
  <si>
    <t>Versie 1.1</t>
  </si>
  <si>
    <t>Vragen en verbetervoorstellen kun je mailen naar inkoop@rsj-ijsselland.nl o.v.v. Rekenhulp ambulant budget</t>
  </si>
  <si>
    <t>Wanneer gebruiken van de rekenhulp</t>
  </si>
  <si>
    <t>Vervolg na gebruik van de rekenhulp</t>
  </si>
  <si>
    <t>Gemiddeld tarief o.b.v. FTE's alle inschrijfformulieren</t>
  </si>
  <si>
    <t>NB afgerond op 5-tallen voor rekenhulp</t>
  </si>
  <si>
    <t xml:space="preserve">Op basis van vraag 12 wordt het gemiddelde uurtarief van de 7 functieniveaus (functiemix) getoond uit de betreffende tariefklasse. Dit gemiddelde is gebaseerd op de FTE-opgave bij de inschrijving in de inkoopprocedure per tariefklasse. Onderaan deze invulinstructie staan de uurtariefen per functieniveau en het gemiddelde per tariefklasse. </t>
  </si>
  <si>
    <t>Gemiddel uurtarief</t>
  </si>
  <si>
    <t>Aanwezigheidsdagen bij het groepsaanbod</t>
  </si>
  <si>
    <t>Gemiddeld aantal aanwezigheidsuren per dag groepsaanbod</t>
  </si>
  <si>
    <t>Intensiteit groepsaanbod (dropdown)</t>
  </si>
  <si>
    <t>Gemiddeld uurtarief ambulante jeugdhulp</t>
  </si>
  <si>
    <t>Afwijkend rekentarief o.b.v. verwachte disciplinemix (€)</t>
  </si>
  <si>
    <t>https://rsj-ijsselland.nl/sites/rsj_ijsselland/files/20221027-Overzicht-aanbieders-specialistische-jeugdhulp-regio-IJsselland-vanaf-2023.pdf</t>
  </si>
  <si>
    <t xml:space="preserve">Overleg tussen aanbieder en gemeente of acceptatie door aanbieder om tot een JW315 of JW301 bericht te komen. </t>
  </si>
  <si>
    <t xml:space="preserve">Vul hier een schatting in van de tijd die een aanbieder kan declareren. 
Belangrijkste afspraak hierbij is dat de te declareren tijd bestaat uit direct plus indirecte cliëntgebonden tijd. Er zijn geen normen voor de verdeling tussen deze twee soorten cliëntgebonden tijd en voor het aantal uren per activiteit. 
Onder indirect cliëntgebonden tijd is de reistijd naar de client declarabel met een maximum van 45 minuten per gesprek. 
</t>
  </si>
  <si>
    <r>
      <t xml:space="preserve">Nieuwe berekening: wis alle </t>
    </r>
    <r>
      <rPr>
        <b/>
        <sz val="10"/>
        <color theme="0"/>
        <rFont val="Calibri"/>
        <family val="2"/>
        <scheme val="minor"/>
      </rPr>
      <t>groene</t>
    </r>
    <r>
      <rPr>
        <sz val="10"/>
        <color theme="0"/>
        <rFont val="Calibri"/>
        <family val="2"/>
        <scheme val="minor"/>
      </rPr>
      <t xml:space="preserve"> velden</t>
    </r>
  </si>
  <si>
    <r>
      <t xml:space="preserve">(Grijze velden zijn </t>
    </r>
    <r>
      <rPr>
        <b/>
        <i/>
        <sz val="8"/>
        <color rgb="FFFF0000"/>
        <rFont val="Calibri"/>
        <family val="2"/>
      </rPr>
      <t>verplichte</t>
    </r>
    <r>
      <rPr>
        <b/>
        <sz val="8"/>
        <color rgb="FFFF0000"/>
        <rFont val="Calibri"/>
        <family val="2"/>
      </rPr>
      <t xml:space="preserve"> </t>
    </r>
    <r>
      <rPr>
        <b/>
        <sz val="8"/>
        <color rgb="FF000000"/>
        <rFont val="Calibri"/>
        <family val="2"/>
      </rPr>
      <t>invulvelden)</t>
    </r>
  </si>
  <si>
    <t>totaal beschikking</t>
  </si>
  <si>
    <t xml:space="preserve">Kiezen van het maximum standaardbudget of berekenen van het offertebudget van de toewijzing met behulp van de rekenformule prijs maal volume (PxQ). 
De aanbieder heeft - vanuit het uitgangspunt vertrouwen - binnen het toegewezen budget de ruimte om te doen wat nodig is om het beoogde resultaat te bereiken. De aanbieder declareert niet meer dan de werkelijke inzet. </t>
  </si>
  <si>
    <t xml:space="preserve">Deze rekenhulp ondersteunt de samenwerking tijdens het verwijsproces tussen gemeente en jeugdhulpaanbieder. 
Dit is onderdeel van de omgangsnormen om het natuurlijke spanningsveld tussen de gemeentelijke toegang en de jeugdhulpaanbieders werkbaar te houden. </t>
  </si>
  <si>
    <t>Berekening Ambulant budget totaal K27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</si>
</sst>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00"/>
    <numFmt numFmtId="165" formatCode="&quot;€&quot;\ #,##0"/>
    <numFmt numFmtId="166" formatCode="[$-413]d\ mmmm\ yyyy;@"/>
    <numFmt numFmtId="167" formatCode="0.0"/>
    <numFmt numFmtId="168" formatCode="#,##0.0"/>
  </numFmts>
  <fonts count="26"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sz val="10"/>
      <color theme="1"/>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8"/>
      <name val="Calibri"/>
      <family val="2"/>
      <scheme val="minor"/>
    </font>
    <font>
      <sz val="10"/>
      <color theme="1"/>
      <name val="Calibri"/>
      <family val="2"/>
    </font>
    <font>
      <sz val="8"/>
      <color theme="1"/>
      <name val="Calibri"/>
      <family val="2"/>
      <scheme val="minor"/>
    </font>
    <font>
      <sz val="10"/>
      <color rgb="FF000000"/>
      <name val="Calibri"/>
      <family val="2"/>
    </font>
    <font>
      <sz val="10"/>
      <name val="Calibri"/>
      <family val="2"/>
      <scheme val="minor"/>
    </font>
    <font>
      <b/>
      <i/>
      <sz val="10"/>
      <color rgb="FFFF0000"/>
      <name val="Calibri"/>
      <family val="2"/>
      <scheme val="minor"/>
    </font>
    <font>
      <b/>
      <sz val="14"/>
      <color theme="1"/>
      <name val="Calibri"/>
      <family val="2"/>
      <scheme val="minor"/>
    </font>
    <font>
      <b/>
      <sz val="11"/>
      <color rgb="FFFF0000"/>
      <name val="Calibri"/>
      <family val="2"/>
      <scheme val="minor"/>
    </font>
    <font>
      <b/>
      <sz val="11"/>
      <name val="Calibri"/>
      <family val="2"/>
      <scheme val="minor"/>
    </font>
    <font>
      <sz val="11"/>
      <name val="Calibri"/>
      <family val="2"/>
      <scheme val="minor"/>
    </font>
    <font>
      <i/>
      <u/>
      <sz val="10"/>
      <color theme="1"/>
      <name val="Calibri"/>
      <family val="2"/>
    </font>
    <font>
      <i/>
      <u/>
      <sz val="10"/>
      <color theme="1"/>
      <name val="Calibri"/>
      <family val="2"/>
      <scheme val="minor"/>
    </font>
    <font>
      <u/>
      <sz val="11"/>
      <color theme="10"/>
      <name val="Calibri"/>
      <family val="2"/>
      <scheme val="minor"/>
    </font>
    <font>
      <sz val="10"/>
      <color theme="0"/>
      <name val="Calibri"/>
      <family val="2"/>
      <scheme val="minor"/>
    </font>
    <font>
      <b/>
      <sz val="10"/>
      <color theme="0"/>
      <name val="Calibri"/>
      <family val="2"/>
      <scheme val="minor"/>
    </font>
    <font>
      <b/>
      <sz val="8"/>
      <color rgb="FF000000"/>
      <name val="Calibri"/>
      <family val="2"/>
    </font>
    <font>
      <b/>
      <i/>
      <sz val="8"/>
      <color rgb="FFFF0000"/>
      <name val="Calibri"/>
      <family val="2"/>
    </font>
    <font>
      <b/>
      <sz val="8"/>
      <color rgb="FFFF0000"/>
      <name val="Calibri"/>
      <family val="2"/>
    </font>
  </fonts>
  <fills count="11">
    <fill>
      <patternFill patternType="none"/>
    </fill>
    <fill>
      <patternFill patternType="gray125"/>
    </fill>
    <fill>
      <patternFill patternType="solid">
        <fgColor theme="9" tint="0.79998168889431442"/>
        <bgColor indexed="64"/>
      </patternFill>
    </fill>
    <fill>
      <patternFill patternType="solid">
        <fgColor theme="0" tint="-0.14996795556505021"/>
        <bgColor indexed="64"/>
      </patternFill>
    </fill>
    <fill>
      <patternFill patternType="solid">
        <fgColor rgb="FFFF0000"/>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20" fillId="0" borderId="0" applyNumberFormat="0" applyFill="0" applyBorder="0" applyAlignment="0" applyProtection="0"/>
  </cellStyleXfs>
  <cellXfs count="133">
    <xf numFmtId="0" fontId="0" fillId="0" borderId="0" xfId="0"/>
    <xf numFmtId="0" fontId="0" fillId="0" borderId="0" xfId="0" applyAlignment="1">
      <alignment horizontal="right"/>
    </xf>
    <xf numFmtId="164" fontId="0" fillId="0" borderId="0" xfId="0" applyNumberFormat="1"/>
    <xf numFmtId="14" fontId="0" fillId="0" borderId="0" xfId="0" applyNumberFormat="1"/>
    <xf numFmtId="0" fontId="1" fillId="0" borderId="0" xfId="0" applyFont="1"/>
    <xf numFmtId="14" fontId="1" fillId="0" borderId="0" xfId="0" applyNumberFormat="1" applyFont="1"/>
    <xf numFmtId="0" fontId="3" fillId="0" borderId="0" xfId="0" applyFont="1" applyAlignment="1">
      <alignment horizontal="left" vertical="top"/>
    </xf>
    <xf numFmtId="0" fontId="4" fillId="0" borderId="0" xfId="0" applyFont="1"/>
    <xf numFmtId="0" fontId="4" fillId="3" borderId="1" xfId="0" applyFont="1" applyFill="1" applyBorder="1" applyAlignment="1">
      <alignment horizontal="center"/>
    </xf>
    <xf numFmtId="0" fontId="5" fillId="0" borderId="0" xfId="0" applyFont="1"/>
    <xf numFmtId="0" fontId="4" fillId="2" borderId="1" xfId="0" applyFont="1" applyFill="1" applyBorder="1" applyAlignment="1">
      <alignment horizontal="center"/>
    </xf>
    <xf numFmtId="0" fontId="6" fillId="0" borderId="0" xfId="0" applyFont="1" applyAlignment="1">
      <alignment horizontal="right"/>
    </xf>
    <xf numFmtId="0" fontId="4" fillId="0" borderId="1" xfId="0" applyFont="1" applyBorder="1"/>
    <xf numFmtId="167" fontId="4" fillId="0" borderId="1" xfId="0" applyNumberFormat="1" applyFont="1" applyBorder="1" applyProtection="1">
      <protection locked="0"/>
    </xf>
    <xf numFmtId="167" fontId="4" fillId="0" borderId="1" xfId="0" applyNumberFormat="1" applyFont="1" applyBorder="1"/>
    <xf numFmtId="0" fontId="4" fillId="0" borderId="1" xfId="0" applyFont="1" applyBorder="1" applyAlignment="1" applyProtection="1">
      <alignment horizontal="right"/>
      <protection locked="0"/>
    </xf>
    <xf numFmtId="164" fontId="4" fillId="0" borderId="0" xfId="0" applyNumberFormat="1" applyFont="1"/>
    <xf numFmtId="1" fontId="4" fillId="0" borderId="1" xfId="0" applyNumberFormat="1" applyFont="1" applyBorder="1"/>
    <xf numFmtId="165" fontId="6" fillId="0" borderId="0" xfId="0" applyNumberFormat="1" applyFont="1"/>
    <xf numFmtId="3" fontId="4" fillId="0" borderId="1" xfId="0" applyNumberFormat="1" applyFont="1" applyBorder="1"/>
    <xf numFmtId="3" fontId="4" fillId="0" borderId="1" xfId="0" applyNumberFormat="1" applyFont="1" applyBorder="1" applyAlignment="1">
      <alignment horizontal="right"/>
    </xf>
    <xf numFmtId="164" fontId="4" fillId="0" borderId="1" xfId="0" applyNumberFormat="1" applyFont="1" applyBorder="1"/>
    <xf numFmtId="0" fontId="4" fillId="0" borderId="0" xfId="0" applyFont="1" applyAlignment="1">
      <alignment vertical="center"/>
    </xf>
    <xf numFmtId="165" fontId="6" fillId="0" borderId="1" xfId="0" applyNumberFormat="1" applyFont="1" applyBorder="1" applyAlignment="1" applyProtection="1">
      <alignment vertical="center"/>
      <protection hidden="1"/>
    </xf>
    <xf numFmtId="2" fontId="0" fillId="0" borderId="0" xfId="0" applyNumberFormat="1"/>
    <xf numFmtId="0" fontId="4" fillId="0" borderId="1" xfId="0" applyFont="1" applyBorder="1" applyProtection="1">
      <protection locked="0"/>
    </xf>
    <xf numFmtId="0" fontId="0" fillId="0" borderId="1" xfId="0" applyBorder="1"/>
    <xf numFmtId="2" fontId="0" fillId="0" borderId="1" xfId="0" applyNumberFormat="1" applyBorder="1"/>
    <xf numFmtId="0" fontId="0" fillId="0" borderId="1" xfId="0" applyBorder="1" applyAlignment="1">
      <alignment horizontal="right"/>
    </xf>
    <xf numFmtId="0" fontId="3" fillId="0" borderId="0" xfId="0" applyFont="1" applyAlignment="1">
      <alignment vertical="center"/>
    </xf>
    <xf numFmtId="0" fontId="11" fillId="0" borderId="1" xfId="0" applyFont="1" applyBorder="1"/>
    <xf numFmtId="0" fontId="2" fillId="0" borderId="0" xfId="0" applyFont="1"/>
    <xf numFmtId="164" fontId="4" fillId="0" borderId="1" xfId="0" applyNumberFormat="1" applyFont="1" applyBorder="1" applyProtection="1">
      <protection hidden="1"/>
    </xf>
    <xf numFmtId="0" fontId="6" fillId="0" borderId="3" xfId="0" applyFont="1" applyBorder="1" applyAlignment="1">
      <alignment horizontal="left"/>
    </xf>
    <xf numFmtId="0" fontId="4" fillId="0" borderId="3" xfId="0" applyFont="1" applyBorder="1"/>
    <xf numFmtId="0" fontId="9" fillId="0" borderId="3" xfId="0" applyFont="1" applyBorder="1"/>
    <xf numFmtId="0" fontId="4" fillId="0" borderId="4" xfId="0" applyFont="1" applyBorder="1"/>
    <xf numFmtId="0" fontId="6" fillId="0" borderId="4" xfId="0" applyFont="1" applyBorder="1" applyAlignment="1">
      <alignment vertical="center"/>
    </xf>
    <xf numFmtId="1" fontId="0" fillId="0" borderId="0" xfId="0" applyNumberFormat="1"/>
    <xf numFmtId="2" fontId="0" fillId="0" borderId="9" xfId="0" applyNumberFormat="1" applyBorder="1"/>
    <xf numFmtId="0" fontId="4" fillId="0" borderId="0" xfId="0" applyFont="1" applyAlignment="1" applyProtection="1">
      <alignment vertical="center"/>
      <protection locked="0"/>
    </xf>
    <xf numFmtId="0" fontId="6" fillId="0" borderId="0" xfId="0" applyFont="1" applyAlignment="1">
      <alignment horizontal="center"/>
    </xf>
    <xf numFmtId="165" fontId="4" fillId="0" borderId="0" xfId="0" applyNumberFormat="1" applyFont="1" applyAlignment="1">
      <alignment horizontal="right"/>
    </xf>
    <xf numFmtId="0" fontId="4" fillId="0" borderId="1" xfId="0" applyFont="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164" fontId="12" fillId="6" borderId="1" xfId="0" applyNumberFormat="1" applyFont="1" applyFill="1" applyBorder="1" applyAlignment="1" applyProtection="1">
      <alignment horizontal="right"/>
      <protection locked="0"/>
    </xf>
    <xf numFmtId="0" fontId="4" fillId="6" borderId="1" xfId="0" applyFont="1" applyFill="1" applyBorder="1" applyAlignment="1">
      <alignment horizontal="center"/>
    </xf>
    <xf numFmtId="0" fontId="4" fillId="4" borderId="1" xfId="0" applyFont="1" applyFill="1" applyBorder="1" applyAlignment="1">
      <alignment horizontal="center"/>
    </xf>
    <xf numFmtId="0" fontId="4" fillId="5" borderId="1" xfId="0" applyFont="1" applyFill="1" applyBorder="1" applyAlignment="1">
      <alignment horizontal="center"/>
    </xf>
    <xf numFmtId="167" fontId="4" fillId="7" borderId="1" xfId="0" applyNumberFormat="1" applyFont="1" applyFill="1" applyBorder="1" applyProtection="1">
      <protection locked="0"/>
    </xf>
    <xf numFmtId="0" fontId="4" fillId="0" borderId="1" xfId="0" applyFont="1" applyBorder="1" applyAlignment="1" applyProtection="1">
      <alignment horizontal="right" vertical="center"/>
      <protection locked="0"/>
    </xf>
    <xf numFmtId="0" fontId="1" fillId="0" borderId="0" xfId="0" applyFont="1" applyAlignment="1">
      <alignment vertical="top" wrapText="1"/>
    </xf>
    <xf numFmtId="0" fontId="0" fillId="0" borderId="0" xfId="0" applyAlignment="1">
      <alignment vertical="top" wrapText="1"/>
    </xf>
    <xf numFmtId="0" fontId="4" fillId="8" borderId="1" xfId="0" applyFont="1" applyFill="1" applyBorder="1"/>
    <xf numFmtId="0" fontId="6" fillId="8" borderId="3" xfId="0" applyFont="1" applyFill="1" applyBorder="1" applyAlignment="1">
      <alignment horizontal="left"/>
    </xf>
    <xf numFmtId="0" fontId="6" fillId="8" borderId="3" xfId="0" applyFont="1" applyFill="1" applyBorder="1"/>
    <xf numFmtId="0" fontId="4" fillId="0" borderId="2" xfId="0" applyFont="1" applyBorder="1"/>
    <xf numFmtId="0" fontId="4" fillId="0" borderId="1" xfId="0" applyFont="1" applyBorder="1" applyProtection="1">
      <protection hidden="1"/>
    </xf>
    <xf numFmtId="165" fontId="4" fillId="0" borderId="1" xfId="0" applyNumberFormat="1" applyFont="1" applyBorder="1" applyAlignment="1">
      <alignment horizontal="center"/>
    </xf>
    <xf numFmtId="0" fontId="0" fillId="0" borderId="1" xfId="0" applyBorder="1" applyAlignment="1">
      <alignment vertical="top" wrapText="1"/>
    </xf>
    <xf numFmtId="0" fontId="0" fillId="0" borderId="1" xfId="0" quotePrefix="1" applyBorder="1" applyAlignment="1">
      <alignment vertical="top" wrapText="1"/>
    </xf>
    <xf numFmtId="0" fontId="1" fillId="7" borderId="1" xfId="0" applyFont="1" applyFill="1" applyBorder="1" applyAlignment="1">
      <alignment vertical="top" wrapText="1"/>
    </xf>
    <xf numFmtId="0" fontId="0" fillId="0" borderId="2" xfId="0" applyBorder="1" applyAlignment="1">
      <alignment vertical="top" wrapText="1"/>
    </xf>
    <xf numFmtId="0" fontId="6" fillId="9" borderId="2" xfId="0" applyFont="1" applyFill="1" applyBorder="1" applyAlignment="1">
      <alignment horizontal="left"/>
    </xf>
    <xf numFmtId="0" fontId="6" fillId="9" borderId="4" xfId="0" applyFont="1" applyFill="1" applyBorder="1" applyAlignment="1">
      <alignment horizontal="left"/>
    </xf>
    <xf numFmtId="0" fontId="6" fillId="9" borderId="3" xfId="0" applyFont="1" applyFill="1" applyBorder="1" applyAlignment="1">
      <alignment horizontal="left"/>
    </xf>
    <xf numFmtId="165" fontId="6" fillId="9" borderId="5" xfId="0" applyNumberFormat="1" applyFont="1" applyFill="1" applyBorder="1" applyAlignment="1">
      <alignment horizontal="right" vertical="center"/>
    </xf>
    <xf numFmtId="0" fontId="0" fillId="0" borderId="1" xfId="0" applyBorder="1" applyAlignment="1">
      <alignment horizontal="left" vertical="top" wrapText="1"/>
    </xf>
    <xf numFmtId="0" fontId="1" fillId="7" borderId="2" xfId="0" applyFont="1" applyFill="1" applyBorder="1" applyAlignment="1">
      <alignment vertical="top"/>
    </xf>
    <xf numFmtId="0" fontId="15" fillId="7" borderId="3" xfId="0" applyFont="1" applyFill="1" applyBorder="1" applyAlignment="1">
      <alignment vertical="top" wrapText="1"/>
    </xf>
    <xf numFmtId="0" fontId="16" fillId="7" borderId="1" xfId="0" applyFont="1" applyFill="1" applyBorder="1" applyAlignment="1">
      <alignment vertical="top" wrapText="1"/>
    </xf>
    <xf numFmtId="1" fontId="4" fillId="0" borderId="1" xfId="0" applyNumberFormat="1" applyFont="1" applyBorder="1" applyProtection="1">
      <protection locked="0"/>
    </xf>
    <xf numFmtId="0" fontId="0" fillId="0" borderId="0" xfId="0" applyAlignment="1">
      <alignment vertical="top"/>
    </xf>
    <xf numFmtId="0" fontId="14" fillId="0" borderId="0" xfId="0" applyFont="1" applyAlignment="1">
      <alignment vertical="top"/>
    </xf>
    <xf numFmtId="0" fontId="0" fillId="7" borderId="12" xfId="0" applyFill="1" applyBorder="1" applyAlignment="1">
      <alignment vertical="top"/>
    </xf>
    <xf numFmtId="0" fontId="0" fillId="7" borderId="13" xfId="0" applyFill="1" applyBorder="1" applyAlignment="1">
      <alignment vertical="top"/>
    </xf>
    <xf numFmtId="0" fontId="14" fillId="0" borderId="14" xfId="0" applyFont="1" applyBorder="1" applyAlignment="1">
      <alignment vertical="top"/>
    </xf>
    <xf numFmtId="0" fontId="1" fillId="0" borderId="1" xfId="0" applyFont="1" applyBorder="1" applyAlignment="1">
      <alignment vertical="top"/>
    </xf>
    <xf numFmtId="0" fontId="0" fillId="0" borderId="15" xfId="0" applyBorder="1" applyAlignment="1">
      <alignment vertical="top"/>
    </xf>
    <xf numFmtId="0" fontId="14" fillId="0" borderId="7" xfId="0" applyFont="1" applyBorder="1" applyAlignment="1">
      <alignment vertical="top"/>
    </xf>
    <xf numFmtId="0" fontId="0" fillId="0" borderId="8" xfId="0" applyBorder="1" applyAlignment="1">
      <alignment vertical="top"/>
    </xf>
    <xf numFmtId="0" fontId="16" fillId="7" borderId="3" xfId="0" applyFont="1" applyFill="1" applyBorder="1" applyAlignment="1">
      <alignment vertical="top" wrapText="1"/>
    </xf>
    <xf numFmtId="0" fontId="0" fillId="0" borderId="11" xfId="0" applyBorder="1" applyAlignment="1">
      <alignment vertical="top" wrapText="1"/>
    </xf>
    <xf numFmtId="0" fontId="17" fillId="0" borderId="1" xfId="0" applyFont="1" applyBorder="1" applyAlignment="1">
      <alignment vertical="top" wrapText="1"/>
    </xf>
    <xf numFmtId="0" fontId="1" fillId="0" borderId="0" xfId="0" applyFont="1" applyAlignment="1">
      <alignment vertical="top"/>
    </xf>
    <xf numFmtId="0" fontId="4" fillId="9" borderId="1" xfId="0" applyFont="1" applyFill="1" applyBorder="1"/>
    <xf numFmtId="0" fontId="6" fillId="9" borderId="4" xfId="0" applyFont="1" applyFill="1" applyBorder="1"/>
    <xf numFmtId="0" fontId="0" fillId="0" borderId="7" xfId="0" applyBorder="1" applyAlignment="1">
      <alignment vertical="top" wrapText="1"/>
    </xf>
    <xf numFmtId="0" fontId="4" fillId="9" borderId="2" xfId="0" applyFont="1" applyFill="1" applyBorder="1" applyAlignment="1">
      <alignment horizontal="left"/>
    </xf>
    <xf numFmtId="0" fontId="4" fillId="9" borderId="4" xfId="0" applyFont="1" applyFill="1" applyBorder="1" applyAlignment="1">
      <alignment horizontal="left"/>
    </xf>
    <xf numFmtId="0" fontId="4" fillId="9" borderId="3" xfId="0" applyFont="1" applyFill="1" applyBorder="1" applyAlignment="1">
      <alignment horizontal="left"/>
    </xf>
    <xf numFmtId="165" fontId="4" fillId="9" borderId="6" xfId="0" applyNumberFormat="1" applyFont="1" applyFill="1" applyBorder="1" applyAlignment="1">
      <alignment vertical="center"/>
    </xf>
    <xf numFmtId="165" fontId="4" fillId="9" borderId="1" xfId="0" applyNumberFormat="1" applyFont="1" applyFill="1" applyBorder="1"/>
    <xf numFmtId="9" fontId="0" fillId="0" borderId="1" xfId="0" applyNumberFormat="1" applyBorder="1" applyAlignment="1">
      <alignment vertical="top" wrapText="1"/>
    </xf>
    <xf numFmtId="164" fontId="0" fillId="0" borderId="1" xfId="0" applyNumberFormat="1" applyBorder="1" applyAlignment="1">
      <alignment vertical="top" wrapText="1"/>
    </xf>
    <xf numFmtId="164" fontId="1" fillId="0" borderId="1" xfId="0" applyNumberFormat="1" applyFont="1" applyBorder="1" applyAlignment="1">
      <alignment vertical="top" wrapText="1"/>
    </xf>
    <xf numFmtId="0" fontId="1" fillId="7" borderId="1" xfId="0" applyFont="1" applyFill="1" applyBorder="1" applyAlignment="1">
      <alignment horizontal="right" vertical="top" wrapText="1"/>
    </xf>
    <xf numFmtId="9" fontId="1" fillId="7" borderId="1" xfId="0" applyNumberFormat="1" applyFont="1" applyFill="1" applyBorder="1" applyAlignment="1">
      <alignment horizontal="right" vertical="top" wrapText="1"/>
    </xf>
    <xf numFmtId="164" fontId="1" fillId="7" borderId="1" xfId="0" applyNumberFormat="1" applyFont="1" applyFill="1" applyBorder="1" applyAlignment="1">
      <alignment vertical="top" wrapText="1"/>
    </xf>
    <xf numFmtId="168" fontId="4" fillId="0" borderId="1" xfId="0" applyNumberFormat="1" applyFont="1" applyBorder="1"/>
    <xf numFmtId="0" fontId="20" fillId="0" borderId="1" xfId="1" applyBorder="1" applyAlignment="1">
      <alignment vertical="top" wrapText="1"/>
    </xf>
    <xf numFmtId="0" fontId="21" fillId="10" borderId="0" xfId="0" applyFont="1" applyFill="1" applyAlignment="1">
      <alignment wrapText="1"/>
    </xf>
    <xf numFmtId="0" fontId="23" fillId="0" borderId="1" xfId="0" applyFont="1" applyBorder="1"/>
    <xf numFmtId="0" fontId="6" fillId="9" borderId="1" xfId="0" applyFont="1" applyFill="1" applyBorder="1" applyAlignment="1">
      <alignment horizontal="left"/>
    </xf>
    <xf numFmtId="167" fontId="4" fillId="0" borderId="1" xfId="0" applyNumberFormat="1" applyFont="1" applyBorder="1" applyAlignment="1" applyProtection="1">
      <alignment horizontal="right"/>
      <protection hidden="1"/>
    </xf>
    <xf numFmtId="164" fontId="4" fillId="0" borderId="1" xfId="0" applyNumberFormat="1" applyFont="1" applyBorder="1" applyAlignment="1" applyProtection="1">
      <alignment horizontal="right"/>
      <protection hidden="1"/>
    </xf>
    <xf numFmtId="165" fontId="6" fillId="0" borderId="1" xfId="0" applyNumberFormat="1" applyFont="1" applyBorder="1" applyAlignment="1" applyProtection="1">
      <alignment horizontal="right" vertical="center"/>
      <protection hidden="1"/>
    </xf>
    <xf numFmtId="0" fontId="7" fillId="0" borderId="1" xfId="0" applyFont="1" applyBorder="1" applyAlignment="1" applyProtection="1">
      <alignment horizontal="left"/>
      <protection locked="0"/>
    </xf>
    <xf numFmtId="0" fontId="12" fillId="0" borderId="1" xfId="0" applyFont="1" applyBorder="1" applyAlignment="1" applyProtection="1">
      <alignment horizontal="left"/>
      <protection locked="0"/>
    </xf>
    <xf numFmtId="0" fontId="0" fillId="10" borderId="0" xfId="0" applyFill="1" applyAlignment="1">
      <alignment vertical="top" wrapText="1"/>
    </xf>
    <xf numFmtId="166" fontId="0" fillId="0" borderId="0" xfId="0" applyNumberFormat="1" applyAlignment="1">
      <alignment horizontal="left"/>
    </xf>
    <xf numFmtId="0" fontId="10" fillId="0" borderId="7" xfId="0" applyFont="1" applyBorder="1" applyAlignment="1">
      <alignment horizontal="center"/>
    </xf>
    <xf numFmtId="0" fontId="10" fillId="0" borderId="10" xfId="0" applyFont="1" applyBorder="1" applyAlignment="1">
      <alignment horizontal="center"/>
    </xf>
    <xf numFmtId="0" fontId="10" fillId="0" borderId="8" xfId="0" applyFont="1" applyBorder="1" applyAlignment="1">
      <alignment horizontal="center"/>
    </xf>
    <xf numFmtId="14" fontId="13" fillId="0" borderId="0" xfId="0" applyNumberFormat="1" applyFont="1" applyAlignment="1">
      <alignment horizontal="center" vertical="center" wrapText="1"/>
    </xf>
    <xf numFmtId="0" fontId="6" fillId="0" borderId="2" xfId="0" applyFont="1" applyBorder="1" applyAlignment="1">
      <alignment horizontal="center"/>
    </xf>
    <xf numFmtId="0" fontId="6" fillId="0" borderId="3"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left"/>
    </xf>
    <xf numFmtId="0" fontId="4" fillId="0" borderId="4" xfId="0" applyFont="1" applyBorder="1" applyAlignment="1">
      <alignment horizontal="left"/>
    </xf>
    <xf numFmtId="0" fontId="4" fillId="0" borderId="3" xfId="0" applyFont="1" applyBorder="1" applyAlignment="1">
      <alignment horizontal="left"/>
    </xf>
    <xf numFmtId="0" fontId="6" fillId="8" borderId="2" xfId="0" applyFont="1" applyFill="1" applyBorder="1" applyAlignment="1">
      <alignment horizontal="center"/>
    </xf>
    <xf numFmtId="0" fontId="6" fillId="8" borderId="4" xfId="0" applyFont="1" applyFill="1" applyBorder="1" applyAlignment="1">
      <alignment horizontal="center"/>
    </xf>
    <xf numFmtId="0" fontId="6" fillId="8" borderId="3" xfId="0" applyFont="1" applyFill="1" applyBorder="1" applyAlignment="1">
      <alignment horizontal="center"/>
    </xf>
    <xf numFmtId="0" fontId="6" fillId="0" borderId="1" xfId="0" applyFont="1" applyBorder="1" applyAlignment="1">
      <alignment horizontal="center"/>
    </xf>
    <xf numFmtId="0" fontId="5" fillId="0" borderId="0" xfId="0" applyFont="1" applyAlignment="1">
      <alignment horizontal="center" wrapText="1"/>
    </xf>
    <xf numFmtId="0" fontId="1" fillId="7" borderId="1" xfId="0" applyFont="1" applyFill="1" applyBorder="1" applyAlignment="1">
      <alignment horizontal="center" vertical="top" wrapText="1"/>
    </xf>
    <xf numFmtId="0" fontId="1" fillId="0" borderId="1" xfId="0" applyFont="1" applyBorder="1" applyAlignment="1">
      <alignment horizontal="center"/>
    </xf>
    <xf numFmtId="0" fontId="1" fillId="0" borderId="1" xfId="0" applyFont="1" applyBorder="1" applyAlignment="1">
      <alignment horizontal="right" vertical="center"/>
    </xf>
  </cellXfs>
  <cellStyles count="2">
    <cellStyle name="Hyperlink" xfId="1" builtinId="8"/>
    <cellStyle name="Standaard" xfId="0" builtinId="0"/>
  </cellStyles>
  <dxfs count="21">
    <dxf>
      <font>
        <color theme="0"/>
      </font>
      <fill>
        <patternFill patternType="none">
          <bgColor auto="1"/>
        </patternFill>
      </fill>
      <border>
        <left/>
        <right/>
        <top/>
        <bottom/>
        <vertical/>
        <horizontal/>
      </border>
    </dxf>
    <dxf>
      <fill>
        <patternFill>
          <bgColor rgb="FFFF000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0000"/>
        </patternFill>
      </fill>
    </dxf>
    <dxf>
      <fill>
        <patternFill>
          <bgColor theme="9" tint="0.79998168889431442"/>
        </patternFill>
      </fill>
    </dxf>
    <dxf>
      <fill>
        <patternFill>
          <bgColor theme="0" tint="-4.9989318521683403E-2"/>
        </patternFill>
      </fill>
    </dxf>
    <dxf>
      <fill>
        <patternFill>
          <bgColor theme="0" tint="-0.14996795556505021"/>
        </patternFill>
      </fill>
    </dxf>
    <dxf>
      <fill>
        <patternFill>
          <bgColor theme="9" tint="0.79998168889431442"/>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0" tint="-0.14996795556505021"/>
        </patternFill>
      </fill>
    </dxf>
    <dxf>
      <fill>
        <patternFill>
          <bgColor theme="9" tint="0.79998168889431442"/>
        </patternFill>
      </fill>
    </dxf>
    <dxf>
      <fill>
        <patternFill patternType="none">
          <bgColor auto="1"/>
        </patternFill>
      </fill>
    </dxf>
    <dxf>
      <fill>
        <patternFill patternType="none">
          <bgColor auto="1"/>
        </patternFill>
      </fill>
    </dxf>
    <dxf>
      <fill>
        <patternFill>
          <bgColor theme="7" tint="0.59996337778862885"/>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5006340</xdr:colOff>
      <xdr:row>0</xdr:row>
      <xdr:rowOff>11430</xdr:rowOff>
    </xdr:from>
    <xdr:to>
      <xdr:col>3</xdr:col>
      <xdr:colOff>19050</xdr:colOff>
      <xdr:row>5</xdr:row>
      <xdr:rowOff>130810</xdr:rowOff>
    </xdr:to>
    <xdr:pic>
      <xdr:nvPicPr>
        <xdr:cNvPr id="4" name="Afbeelding 3">
          <a:extLst>
            <a:ext uri="{FF2B5EF4-FFF2-40B4-BE49-F238E27FC236}">
              <a16:creationId xmlns:a16="http://schemas.microsoft.com/office/drawing/2014/main" id="{D4B7C676-86F3-4524-9E8D-605A790C64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3990" y="11430"/>
          <a:ext cx="2609850" cy="10394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3162300</xdr:colOff>
      <xdr:row>3</xdr:row>
      <xdr:rowOff>47625</xdr:rowOff>
    </xdr:from>
    <xdr:to>
      <xdr:col>4</xdr:col>
      <xdr:colOff>0</xdr:colOff>
      <xdr:row>4</xdr:row>
      <xdr:rowOff>178435</xdr:rowOff>
    </xdr:to>
    <xdr:pic>
      <xdr:nvPicPr>
        <xdr:cNvPr id="6" name="Afbeelding 5">
          <a:extLst>
            <a:ext uri="{FF2B5EF4-FFF2-40B4-BE49-F238E27FC236}">
              <a16:creationId xmlns:a16="http://schemas.microsoft.com/office/drawing/2014/main" id="{A979151C-F222-4588-9EB7-6FEB444BFD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96550" y="685800"/>
          <a:ext cx="2619375" cy="1050925"/>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66675</xdr:colOff>
          <xdr:row>27</xdr:row>
          <xdr:rowOff>180975</xdr:rowOff>
        </xdr:from>
        <xdr:to>
          <xdr:col>3</xdr:col>
          <xdr:colOff>2931795</xdr:colOff>
          <xdr:row>38</xdr:row>
          <xdr:rowOff>20955</xdr:rowOff>
        </xdr:to>
        <xdr:pic>
          <xdr:nvPicPr>
            <xdr:cNvPr id="7" name="Afbeelding 6">
              <a:extLst>
                <a:ext uri="{FF2B5EF4-FFF2-40B4-BE49-F238E27FC236}">
                  <a16:creationId xmlns:a16="http://schemas.microsoft.com/office/drawing/2014/main" id="{45B26E24-6F8A-487B-80B1-71E4AB76E25D}"/>
                </a:ext>
              </a:extLst>
            </xdr:cNvPr>
            <xdr:cNvPicPr>
              <a:picLocks noChangeAspect="1" noChangeArrowheads="1"/>
              <a:extLst>
                <a:ext uri="{84589F7E-364E-4C9E-8A38-B11213B215E9}">
                  <a14:cameraTool cellRange="Rekentarief!$B$2:$G$10" spid="_x0000_s2169"/>
                </a:ext>
              </a:extLst>
            </xdr:cNvPicPr>
          </xdr:nvPicPr>
          <xdr:blipFill>
            <a:blip xmlns:r="http://schemas.openxmlformats.org/officeDocument/2006/relationships" r:embed="rId2"/>
            <a:srcRect/>
            <a:stretch>
              <a:fillRect/>
            </a:stretch>
          </xdr:blipFill>
          <xdr:spPr bwMode="auto">
            <a:xfrm>
              <a:off x="66675" y="15373350"/>
              <a:ext cx="9989820" cy="1935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64769</xdr:colOff>
      <xdr:row>0</xdr:row>
      <xdr:rowOff>242573</xdr:rowOff>
    </xdr:from>
    <xdr:to>
      <xdr:col>2</xdr:col>
      <xdr:colOff>2378996</xdr:colOff>
      <xdr:row>5</xdr:row>
      <xdr:rowOff>134941</xdr:rowOff>
    </xdr:to>
    <xdr:pic>
      <xdr:nvPicPr>
        <xdr:cNvPr id="5" name="Afbeelding 1" descr="RSJ IJsselland">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332" y="242573"/>
          <a:ext cx="2321847" cy="881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rsj-ijsselland.nl/sites/rsj_ijsselland/files/20221027-Overzicht-aanbieders-specialistische-jeugdhulp-regio-IJsselland-vanaf-2023.pdf"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074DC-B161-45DF-92ED-EDB6EE2181A5}">
  <sheetPr>
    <pageSetUpPr fitToPage="1"/>
  </sheetPr>
  <dimension ref="A1:B21"/>
  <sheetViews>
    <sheetView showGridLines="0" workbookViewId="0">
      <selection activeCell="D1" sqref="D1"/>
    </sheetView>
  </sheetViews>
  <sheetFormatPr defaultRowHeight="15" x14ac:dyDescent="0.25"/>
  <cols>
    <col min="1" max="1" width="3.5703125" customWidth="1"/>
    <col min="2" max="2" width="102" customWidth="1"/>
  </cols>
  <sheetData>
    <row r="1" spans="1:2" ht="15.75" x14ac:dyDescent="0.25">
      <c r="A1" s="31" t="s">
        <v>0</v>
      </c>
    </row>
    <row r="3" spans="1:2" x14ac:dyDescent="0.25">
      <c r="A3" s="4" t="s">
        <v>209</v>
      </c>
    </row>
    <row r="4" spans="1:2" x14ac:dyDescent="0.25">
      <c r="A4" t="s">
        <v>210</v>
      </c>
    </row>
    <row r="5" spans="1:2" x14ac:dyDescent="0.25">
      <c r="A5" s="112">
        <v>44916</v>
      </c>
      <c r="B5" s="112"/>
    </row>
    <row r="7" spans="1:2" x14ac:dyDescent="0.25">
      <c r="A7" s="4" t="s">
        <v>73</v>
      </c>
    </row>
    <row r="8" spans="1:2" x14ac:dyDescent="0.25">
      <c r="A8">
        <v>1</v>
      </c>
      <c r="B8" t="s">
        <v>115</v>
      </c>
    </row>
    <row r="9" spans="1:2" x14ac:dyDescent="0.25">
      <c r="A9">
        <v>2</v>
      </c>
      <c r="B9" t="s">
        <v>116</v>
      </c>
    </row>
    <row r="10" spans="1:2" x14ac:dyDescent="0.25">
      <c r="A10">
        <v>3</v>
      </c>
      <c r="B10" t="s">
        <v>198</v>
      </c>
    </row>
    <row r="11" spans="1:2" x14ac:dyDescent="0.25">
      <c r="A11">
        <v>4</v>
      </c>
      <c r="B11" t="s">
        <v>180</v>
      </c>
    </row>
    <row r="12" spans="1:2" x14ac:dyDescent="0.25">
      <c r="A12">
        <v>5</v>
      </c>
      <c r="B12" t="s">
        <v>181</v>
      </c>
    </row>
    <row r="13" spans="1:2" x14ac:dyDescent="0.25">
      <c r="A13">
        <v>6</v>
      </c>
      <c r="B13" t="s">
        <v>117</v>
      </c>
    </row>
    <row r="14" spans="1:2" x14ac:dyDescent="0.25">
      <c r="A14">
        <v>7</v>
      </c>
      <c r="B14" t="s">
        <v>199</v>
      </c>
    </row>
    <row r="15" spans="1:2" x14ac:dyDescent="0.25">
      <c r="A15">
        <v>8</v>
      </c>
      <c r="B15" t="s">
        <v>208</v>
      </c>
    </row>
    <row r="17" spans="1:1" s="4" customFormat="1" x14ac:dyDescent="0.25">
      <c r="A17" s="4" t="str">
        <f>"Let op. Dit bestand bevat tarieven van "&amp;YEAR(Lijsten!F2)&amp;". Vanaf 1 januari "&amp;YEAR(Lijsten!F2)+1&amp;" werkt"</f>
        <v>Let op. Dit bestand bevat tarieven van 2023. Vanaf 1 januari 2024 werkt</v>
      </c>
    </row>
    <row r="18" spans="1:1" s="4" customFormat="1" x14ac:dyDescent="0.25">
      <c r="A18" s="4" t="str">
        <f>"deze rekentool niet meer omdat dan de tarieven "&amp;YEAR(Lijsten!F2)+1&amp;" moeten worden ingelezen."</f>
        <v>deze rekentool niet meer omdat dan de tarieven 2024 moeten worden ingelezen.</v>
      </c>
    </row>
    <row r="20" spans="1:1" x14ac:dyDescent="0.25">
      <c r="A20" t="s">
        <v>1</v>
      </c>
    </row>
    <row r="21" spans="1:1" x14ac:dyDescent="0.25">
      <c r="A21" t="s">
        <v>211</v>
      </c>
    </row>
  </sheetData>
  <sheetProtection algorithmName="SHA-512" hashValue="TS91NErrrhJp1O+NElwa2cDGQ2h1L64dMqpdzJ49LJuLX7GLp2aU8VRceo1+zoEXPucvDfr8q6klk+jMuRGrKw==" saltValue="f63Nd75SCvEoMEBmkjEuPg==" spinCount="100000" sheet="1" formatColumns="0" formatRows="0" selectLockedCells="1"/>
  <mergeCells count="1">
    <mergeCell ref="A5:B5"/>
  </mergeCells>
  <pageMargins left="0.70866141732283472" right="0.70866141732283472" top="0.74803149606299213" bottom="0.74803149606299213" header="0.31496062992125984" footer="0.31496062992125984"/>
  <pageSetup paperSize="9" orientation="landscape" horizontalDpi="4294967293" verticalDpi="0"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F97B8-6529-4413-B8DD-198D3455BE60}">
  <sheetPr>
    <pageSetUpPr fitToPage="1"/>
  </sheetPr>
  <dimension ref="A1:D44"/>
  <sheetViews>
    <sheetView workbookViewId="0">
      <pane ySplit="1" topLeftCell="A2" activePane="bottomLeft" state="frozen"/>
      <selection activeCell="D1" sqref="D1"/>
      <selection pane="bottomLeft" activeCell="D1" sqref="D1"/>
    </sheetView>
  </sheetViews>
  <sheetFormatPr defaultColWidth="9.140625" defaultRowHeight="15" x14ac:dyDescent="0.25"/>
  <cols>
    <col min="1" max="1" width="3.5703125" style="74" customWidth="1"/>
    <col min="2" max="2" width="38.85546875" style="74" bestFit="1" customWidth="1"/>
    <col min="3" max="3" width="64.42578125" style="74" customWidth="1"/>
    <col min="4" max="4" width="84.28515625" style="74" customWidth="1"/>
    <col min="5" max="16384" width="9.140625" style="74"/>
  </cols>
  <sheetData>
    <row r="1" spans="1:4" ht="18.75" x14ac:dyDescent="0.25">
      <c r="A1" s="75" t="s">
        <v>104</v>
      </c>
    </row>
    <row r="2" spans="1:4" ht="18.75" x14ac:dyDescent="0.25">
      <c r="A2" s="75"/>
    </row>
    <row r="3" spans="1:4" x14ac:dyDescent="0.25">
      <c r="A3" s="70" t="s">
        <v>133</v>
      </c>
      <c r="B3" s="76"/>
      <c r="C3" s="76"/>
      <c r="D3" s="77"/>
    </row>
    <row r="4" spans="1:4" ht="75" x14ac:dyDescent="0.25">
      <c r="A4" s="78"/>
      <c r="B4" s="79" t="s">
        <v>196</v>
      </c>
      <c r="C4" s="61" t="s">
        <v>230</v>
      </c>
      <c r="D4" s="80"/>
    </row>
    <row r="5" spans="1:4" ht="105" x14ac:dyDescent="0.25">
      <c r="A5" s="78"/>
      <c r="B5" s="79" t="s">
        <v>195</v>
      </c>
      <c r="C5" s="61" t="s">
        <v>229</v>
      </c>
      <c r="D5" s="80"/>
    </row>
    <row r="6" spans="1:4" ht="18.75" x14ac:dyDescent="0.25">
      <c r="A6" s="78"/>
      <c r="B6" s="79" t="s">
        <v>134</v>
      </c>
      <c r="C6" s="61" t="s">
        <v>158</v>
      </c>
      <c r="D6" s="80"/>
    </row>
    <row r="7" spans="1:4" ht="30" x14ac:dyDescent="0.25">
      <c r="A7" s="78"/>
      <c r="B7" s="79" t="s">
        <v>212</v>
      </c>
      <c r="C7" s="61" t="s">
        <v>185</v>
      </c>
      <c r="D7" s="80"/>
    </row>
    <row r="8" spans="1:4" ht="30" x14ac:dyDescent="0.25">
      <c r="A8" s="78"/>
      <c r="B8" s="79" t="s">
        <v>213</v>
      </c>
      <c r="C8" s="61" t="s">
        <v>224</v>
      </c>
      <c r="D8" s="80"/>
    </row>
    <row r="9" spans="1:4" ht="30" x14ac:dyDescent="0.25">
      <c r="A9" s="81"/>
      <c r="B9" s="79" t="s">
        <v>159</v>
      </c>
      <c r="C9" s="61" t="s">
        <v>186</v>
      </c>
      <c r="D9" s="82"/>
    </row>
    <row r="10" spans="1:4" s="54" customFormat="1" x14ac:dyDescent="0.25"/>
    <row r="11" spans="1:4" s="54" customFormat="1" x14ac:dyDescent="0.25">
      <c r="A11" s="70" t="s">
        <v>100</v>
      </c>
      <c r="B11" s="71"/>
      <c r="C11" s="83" t="s">
        <v>103</v>
      </c>
      <c r="D11" s="72" t="s">
        <v>160</v>
      </c>
    </row>
    <row r="12" spans="1:4" s="54" customFormat="1" ht="45" x14ac:dyDescent="0.25">
      <c r="A12" s="84">
        <v>1</v>
      </c>
      <c r="B12" s="84" t="s">
        <v>18</v>
      </c>
      <c r="C12" s="61" t="s">
        <v>188</v>
      </c>
      <c r="D12" s="61" t="s">
        <v>187</v>
      </c>
    </row>
    <row r="13" spans="1:4" s="54" customFormat="1" x14ac:dyDescent="0.25">
      <c r="A13" s="84">
        <v>2</v>
      </c>
      <c r="B13" s="84" t="s">
        <v>20</v>
      </c>
      <c r="C13" s="85" t="s">
        <v>189</v>
      </c>
      <c r="D13" s="61"/>
    </row>
    <row r="14" spans="1:4" s="54" customFormat="1" x14ac:dyDescent="0.25">
      <c r="A14" s="84">
        <v>3</v>
      </c>
      <c r="B14" s="84" t="s">
        <v>102</v>
      </c>
      <c r="C14" s="61" t="s">
        <v>190</v>
      </c>
      <c r="D14" s="61"/>
    </row>
    <row r="15" spans="1:4" s="54" customFormat="1" x14ac:dyDescent="0.25">
      <c r="A15" s="84">
        <v>4</v>
      </c>
      <c r="B15" s="84" t="s">
        <v>81</v>
      </c>
      <c r="C15" s="61" t="s">
        <v>191</v>
      </c>
      <c r="D15" s="61"/>
    </row>
    <row r="16" spans="1:4" s="54" customFormat="1" ht="30" x14ac:dyDescent="0.25">
      <c r="A16" s="84">
        <v>5</v>
      </c>
      <c r="B16" s="84" t="s">
        <v>218</v>
      </c>
      <c r="C16" s="61" t="s">
        <v>192</v>
      </c>
      <c r="D16" s="61"/>
    </row>
    <row r="17" spans="1:4" s="54" customFormat="1" ht="30" x14ac:dyDescent="0.25">
      <c r="A17" s="84">
        <v>6</v>
      </c>
      <c r="B17" s="84" t="s">
        <v>219</v>
      </c>
      <c r="C17" s="61" t="s">
        <v>193</v>
      </c>
      <c r="D17" s="61"/>
    </row>
    <row r="18" spans="1:4" s="54" customFormat="1" ht="30" x14ac:dyDescent="0.25">
      <c r="A18" s="84">
        <v>7</v>
      </c>
      <c r="B18" s="84" t="s">
        <v>51</v>
      </c>
      <c r="C18" s="61" t="s">
        <v>194</v>
      </c>
      <c r="D18" s="61"/>
    </row>
    <row r="19" spans="1:4" s="54" customFormat="1" ht="255" x14ac:dyDescent="0.25">
      <c r="A19" s="84">
        <v>8</v>
      </c>
      <c r="B19" s="84" t="s">
        <v>220</v>
      </c>
      <c r="C19" s="61" t="s">
        <v>161</v>
      </c>
      <c r="D19" s="61" t="s">
        <v>162</v>
      </c>
    </row>
    <row r="20" spans="1:4" s="54" customFormat="1" ht="195" x14ac:dyDescent="0.25">
      <c r="A20" s="84">
        <v>10</v>
      </c>
      <c r="B20" s="84" t="s">
        <v>107</v>
      </c>
      <c r="C20" s="85" t="s">
        <v>225</v>
      </c>
      <c r="D20" s="61" t="s">
        <v>112</v>
      </c>
    </row>
    <row r="21" spans="1:4" s="54" customFormat="1" ht="30" x14ac:dyDescent="0.25">
      <c r="A21" s="84">
        <v>11</v>
      </c>
      <c r="B21" s="84" t="s">
        <v>50</v>
      </c>
      <c r="C21" s="61" t="s">
        <v>194</v>
      </c>
      <c r="D21" s="61"/>
    </row>
    <row r="22" spans="1:4" s="54" customFormat="1" ht="30" x14ac:dyDescent="0.25">
      <c r="A22" s="84">
        <v>12</v>
      </c>
      <c r="B22" s="84" t="s">
        <v>110</v>
      </c>
      <c r="C22" s="61" t="s">
        <v>111</v>
      </c>
      <c r="D22" s="102" t="s">
        <v>223</v>
      </c>
    </row>
    <row r="23" spans="1:4" s="54" customFormat="1" ht="90" x14ac:dyDescent="0.25">
      <c r="A23" s="84">
        <v>13</v>
      </c>
      <c r="B23" s="84" t="s">
        <v>221</v>
      </c>
      <c r="C23" s="61" t="s">
        <v>216</v>
      </c>
      <c r="D23" s="61"/>
    </row>
    <row r="24" spans="1:4" s="54" customFormat="1" ht="60" x14ac:dyDescent="0.25">
      <c r="A24" s="84">
        <v>14</v>
      </c>
      <c r="B24" s="84" t="s">
        <v>222</v>
      </c>
      <c r="C24" s="61" t="s">
        <v>163</v>
      </c>
      <c r="D24" s="61"/>
    </row>
    <row r="25" spans="1:4" s="54" customFormat="1" x14ac:dyDescent="0.25"/>
    <row r="26" spans="1:4" s="54" customFormat="1" x14ac:dyDescent="0.25"/>
    <row r="27" spans="1:4" s="54" customFormat="1" x14ac:dyDescent="0.25">
      <c r="A27" s="86" t="s">
        <v>197</v>
      </c>
    </row>
    <row r="28" spans="1:4" s="54" customFormat="1" x14ac:dyDescent="0.25">
      <c r="A28" s="111"/>
      <c r="B28" s="111"/>
      <c r="C28" s="111"/>
      <c r="D28" s="111"/>
    </row>
    <row r="29" spans="1:4" s="54" customFormat="1" x14ac:dyDescent="0.25">
      <c r="A29" s="111"/>
      <c r="B29" s="111"/>
      <c r="C29" s="111"/>
      <c r="D29" s="111"/>
    </row>
    <row r="30" spans="1:4" s="54" customFormat="1" x14ac:dyDescent="0.25">
      <c r="A30" s="111"/>
      <c r="B30" s="111"/>
      <c r="C30" s="111"/>
      <c r="D30" s="111"/>
    </row>
    <row r="31" spans="1:4" s="54" customFormat="1" x14ac:dyDescent="0.25">
      <c r="A31" s="111"/>
      <c r="B31" s="111"/>
      <c r="C31" s="111"/>
      <c r="D31" s="111"/>
    </row>
    <row r="32" spans="1:4" s="54" customFormat="1" x14ac:dyDescent="0.25">
      <c r="A32" s="111"/>
      <c r="B32" s="111"/>
      <c r="C32" s="111"/>
      <c r="D32" s="111"/>
    </row>
    <row r="33" spans="1:4" s="54" customFormat="1" x14ac:dyDescent="0.25">
      <c r="A33" s="111"/>
      <c r="B33" s="111"/>
      <c r="C33" s="111"/>
      <c r="D33" s="111"/>
    </row>
    <row r="34" spans="1:4" s="54" customFormat="1" x14ac:dyDescent="0.25">
      <c r="A34" s="111"/>
      <c r="B34" s="111"/>
      <c r="C34" s="111"/>
      <c r="D34" s="111"/>
    </row>
    <row r="35" spans="1:4" s="54" customFormat="1" x14ac:dyDescent="0.25">
      <c r="A35" s="111"/>
      <c r="B35" s="111"/>
      <c r="C35" s="111"/>
      <c r="D35" s="111"/>
    </row>
    <row r="36" spans="1:4" s="54" customFormat="1" x14ac:dyDescent="0.25">
      <c r="A36" s="111"/>
      <c r="B36" s="111"/>
      <c r="C36" s="111"/>
      <c r="D36" s="111"/>
    </row>
    <row r="37" spans="1:4" s="54" customFormat="1" x14ac:dyDescent="0.25">
      <c r="A37" s="111"/>
      <c r="B37" s="111"/>
      <c r="C37" s="111"/>
      <c r="D37" s="111"/>
    </row>
    <row r="38" spans="1:4" s="54" customFormat="1" x14ac:dyDescent="0.25">
      <c r="A38" s="111"/>
      <c r="B38" s="111"/>
      <c r="C38" s="111"/>
      <c r="D38" s="111"/>
    </row>
    <row r="39" spans="1:4" s="54" customFormat="1" x14ac:dyDescent="0.25">
      <c r="A39" s="111"/>
      <c r="B39" s="111"/>
      <c r="C39" s="111"/>
      <c r="D39" s="111"/>
    </row>
    <row r="40" spans="1:4" s="54" customFormat="1" x14ac:dyDescent="0.25">
      <c r="A40" s="111"/>
      <c r="B40" s="111"/>
      <c r="C40" s="111"/>
      <c r="D40" s="111"/>
    </row>
    <row r="41" spans="1:4" s="54" customFormat="1" x14ac:dyDescent="0.25"/>
    <row r="42" spans="1:4" s="54" customFormat="1" x14ac:dyDescent="0.25"/>
    <row r="43" spans="1:4" s="54" customFormat="1" x14ac:dyDescent="0.25"/>
    <row r="44" spans="1:4" s="54" customFormat="1" x14ac:dyDescent="0.25"/>
  </sheetData>
  <sheetProtection algorithmName="SHA-512" hashValue="XfaSKk/p8/NpUaYn55xtjhLWjOQYjyJD+oLNB0ahFZ2YMLtuKQfcBWAZ+aArFXVl1/2aI9DUkbBjHudv7TAHSQ==" saltValue="xY6llg/ri7Mdzrs63xqj1A==" spinCount="100000" sheet="1" objects="1" scenarios="1"/>
  <hyperlinks>
    <hyperlink ref="D22" r:id="rId1" xr:uid="{A5A53134-F135-49E7-A761-CED45599F343}"/>
  </hyperlinks>
  <pageMargins left="0.70866141732283472" right="0.70866141732283472" top="0.74803149606299213" bottom="0.74803149606299213" header="0.31496062992125984" footer="0.31496062992125984"/>
  <pageSetup paperSize="9" orientation="landscape" horizontalDpi="4294967293" verticalDpi="0" r:id="rId2"/>
  <headerFooter>
    <oddFooter>&amp;F</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4FB8D-9533-4315-B098-2F9A94871CCE}">
  <sheetPr>
    <tabColor rgb="FF00B0F0"/>
    <pageSetUpPr fitToPage="1"/>
  </sheetPr>
  <dimension ref="A1:K30"/>
  <sheetViews>
    <sheetView showGridLines="0" showZeros="0" tabSelected="1" topLeftCell="B1" zoomScale="120" zoomScaleNormal="120" workbookViewId="0">
      <pane ySplit="1" topLeftCell="A2" activePane="bottomLeft" state="frozen"/>
      <selection pane="bottomLeft" activeCell="E14" sqref="E14:F15"/>
    </sheetView>
  </sheetViews>
  <sheetFormatPr defaultRowHeight="15" x14ac:dyDescent="0.25"/>
  <cols>
    <col min="1" max="1" width="1.85546875" customWidth="1"/>
    <col min="2" max="2" width="2.7109375" style="7" customWidth="1"/>
    <col min="3" max="3" width="58.85546875" bestFit="1" customWidth="1"/>
    <col min="4" max="4" width="36.5703125" bestFit="1" customWidth="1"/>
    <col min="5" max="5" width="22.5703125" bestFit="1" customWidth="1"/>
    <col min="6" max="6" width="14.7109375" customWidth="1"/>
    <col min="7" max="7" width="2.28515625" customWidth="1"/>
    <col min="8" max="8" width="3.5703125" customWidth="1"/>
    <col min="9" max="9" width="24.85546875" customWidth="1"/>
    <col min="10" max="10" width="5.85546875" customWidth="1"/>
    <col min="11" max="11" width="31.28515625" customWidth="1"/>
    <col min="12" max="12" width="3.140625" customWidth="1"/>
    <col min="13" max="13" width="3.5703125" customWidth="1"/>
    <col min="14" max="14" width="13.5703125" customWidth="1"/>
  </cols>
  <sheetData>
    <row r="1" spans="1:11" ht="20.25" customHeight="1" x14ac:dyDescent="0.25">
      <c r="A1" s="29" t="str">
        <f>"Rekenhulp ambulant budget "&amp;YEAR(Lijsten!F2)</f>
        <v>Rekenhulp ambulant budget 2023</v>
      </c>
      <c r="E1" s="29"/>
      <c r="G1" s="29"/>
      <c r="H1" s="29"/>
      <c r="I1" s="29"/>
      <c r="J1" s="29"/>
    </row>
    <row r="2" spans="1:11" ht="14.45" customHeight="1" x14ac:dyDescent="0.25">
      <c r="D2" s="116">
        <f ca="1">IF(TODAY()&gt;Lijsten!$F$2,"Deze rekentool is niet meer geldig omdat de tarieven verouderd zijn. Mail Sybe Bijleveld (sybe@bijleveldadvies.nl) om de nieuwe tarieven in te voeren.",IF(TODAY()&gt;Lijsten!$F$2-30,"Let op: de tarieven 2022 gelden nog "&amp;Lijsten!F2-TODAY()&amp;" dagen. Daarna werkt deze rekentool niet meer. Mail Sybe Bijleveld (sybe@bijleveldadvies.nl) om de tarieven "&amp;YEAR(Lijsten!F2)+1&amp;" in te voeren.",))</f>
        <v>0</v>
      </c>
      <c r="E2" s="116"/>
      <c r="F2" s="116"/>
      <c r="H2" s="117" t="s">
        <v>80</v>
      </c>
      <c r="I2" s="118"/>
      <c r="J2" s="41"/>
    </row>
    <row r="3" spans="1:11" ht="14.45" customHeight="1" x14ac:dyDescent="0.25">
      <c r="D3" s="116"/>
      <c r="E3" s="116"/>
      <c r="F3" s="116"/>
      <c r="H3" s="43" t="s">
        <v>30</v>
      </c>
      <c r="I3" s="60">
        <v>1000</v>
      </c>
      <c r="J3" s="42"/>
    </row>
    <row r="4" spans="1:11" ht="14.45" customHeight="1" x14ac:dyDescent="0.25">
      <c r="D4" s="116"/>
      <c r="E4" s="116"/>
      <c r="F4" s="116"/>
      <c r="H4" s="43" t="s">
        <v>31</v>
      </c>
      <c r="I4" s="60">
        <v>2000</v>
      </c>
      <c r="J4" s="42"/>
    </row>
    <row r="5" spans="1:11" ht="14.45" customHeight="1" x14ac:dyDescent="0.25">
      <c r="C5" s="7"/>
      <c r="D5" s="103" t="s">
        <v>226</v>
      </c>
      <c r="E5" s="6"/>
      <c r="F5" s="7"/>
      <c r="H5" s="43" t="s">
        <v>32</v>
      </c>
      <c r="I5" s="60">
        <v>3000</v>
      </c>
      <c r="J5" s="42"/>
      <c r="K5" s="8" t="s">
        <v>15</v>
      </c>
    </row>
    <row r="6" spans="1:11" x14ac:dyDescent="0.25">
      <c r="C6" s="7"/>
      <c r="D6" s="7"/>
      <c r="E6" s="129" t="str">
        <f>IF(AND(D8="Duurzaam",OR(AND(D17&lt;&gt;1,D17&lt;&gt;""),AND(D21&lt;&gt;1,D21&lt;&gt;""))),"Let op: geldigheid toewijzingen Duurzaam is altijd 1 jaar!","")</f>
        <v/>
      </c>
      <c r="F6" s="129"/>
      <c r="H6" s="43" t="s">
        <v>33</v>
      </c>
      <c r="I6" s="60">
        <v>5000</v>
      </c>
      <c r="J6" s="42"/>
      <c r="K6" s="48" t="s">
        <v>83</v>
      </c>
    </row>
    <row r="7" spans="1:11" ht="14.45" customHeight="1" x14ac:dyDescent="0.25">
      <c r="C7" s="7"/>
      <c r="D7" s="9" t="s">
        <v>16</v>
      </c>
      <c r="E7" s="129"/>
      <c r="F7" s="129"/>
      <c r="H7" s="43" t="s">
        <v>34</v>
      </c>
      <c r="I7" s="60">
        <v>8000</v>
      </c>
      <c r="J7" s="42"/>
      <c r="K7" s="10" t="s">
        <v>17</v>
      </c>
    </row>
    <row r="8" spans="1:11" x14ac:dyDescent="0.25">
      <c r="B8" s="12">
        <v>1</v>
      </c>
      <c r="C8" s="58" t="s">
        <v>18</v>
      </c>
      <c r="D8" s="109"/>
      <c r="E8" s="129"/>
      <c r="F8" s="129"/>
      <c r="H8" s="43" t="s">
        <v>35</v>
      </c>
      <c r="I8" s="60">
        <v>12000</v>
      </c>
      <c r="J8" s="42"/>
      <c r="K8" s="43" t="s">
        <v>19</v>
      </c>
    </row>
    <row r="9" spans="1:11" x14ac:dyDescent="0.25">
      <c r="B9" s="12">
        <v>2</v>
      </c>
      <c r="C9" s="58" t="s">
        <v>20</v>
      </c>
      <c r="D9" s="109"/>
      <c r="E9" s="7"/>
      <c r="F9" s="7"/>
      <c r="H9" s="43" t="s">
        <v>36</v>
      </c>
      <c r="I9" s="60">
        <v>15000</v>
      </c>
      <c r="J9" s="42"/>
      <c r="K9" s="49" t="s">
        <v>21</v>
      </c>
    </row>
    <row r="10" spans="1:11" x14ac:dyDescent="0.25">
      <c r="B10" s="12">
        <v>3</v>
      </c>
      <c r="C10" s="58" t="s">
        <v>102</v>
      </c>
      <c r="D10" s="109"/>
      <c r="H10" s="43" t="s">
        <v>37</v>
      </c>
      <c r="I10" s="60">
        <v>20000</v>
      </c>
      <c r="J10" s="42"/>
      <c r="K10" s="50" t="s">
        <v>22</v>
      </c>
    </row>
    <row r="11" spans="1:11" ht="14.45" customHeight="1" x14ac:dyDescent="0.25">
      <c r="B11" s="12">
        <v>4</v>
      </c>
      <c r="C11" s="59" t="s">
        <v>81</v>
      </c>
      <c r="D11" s="110"/>
      <c r="E11" t="s">
        <v>82</v>
      </c>
      <c r="G11" s="11"/>
      <c r="H11" s="9"/>
      <c r="I11" s="9"/>
      <c r="J11" s="9"/>
      <c r="K11" s="7"/>
    </row>
    <row r="12" spans="1:11" x14ac:dyDescent="0.25">
      <c r="G12" s="7"/>
      <c r="K12" s="7"/>
    </row>
    <row r="13" spans="1:11" x14ac:dyDescent="0.25">
      <c r="B13" s="12"/>
      <c r="C13" s="33" t="s">
        <v>23</v>
      </c>
      <c r="D13" s="104" t="s">
        <v>227</v>
      </c>
      <c r="E13" s="128" t="s">
        <v>70</v>
      </c>
      <c r="F13" s="128"/>
      <c r="G13" s="7"/>
      <c r="H13" s="125" t="str">
        <f>"Resultaattabel "&amp;(D8)</f>
        <v xml:space="preserve">Resultaattabel </v>
      </c>
      <c r="I13" s="126"/>
      <c r="J13" s="126"/>
      <c r="K13" s="127"/>
    </row>
    <row r="14" spans="1:11" x14ac:dyDescent="0.25">
      <c r="B14" s="55"/>
      <c r="C14" s="56" t="s">
        <v>90</v>
      </c>
      <c r="D14" s="57"/>
      <c r="E14" s="125"/>
      <c r="F14" s="127"/>
      <c r="G14" s="7"/>
      <c r="H14" s="119" t="str">
        <f>"Gegevens voor cliënt: "&amp;D11</f>
        <v xml:space="preserve">Gegevens voor cliënt: </v>
      </c>
      <c r="I14" s="120"/>
      <c r="J14" s="120"/>
      <c r="K14" s="121"/>
    </row>
    <row r="15" spans="1:11" x14ac:dyDescent="0.25">
      <c r="B15" s="12">
        <v>5</v>
      </c>
      <c r="C15" s="34" t="s">
        <v>184</v>
      </c>
      <c r="D15" s="73"/>
      <c r="E15" s="30" t="str">
        <f>IF(D15=1,"dag per","dagen per")</f>
        <v>dagen per</v>
      </c>
      <c r="F15" s="25"/>
      <c r="G15" s="7"/>
      <c r="H15" s="122" t="str">
        <f>"Groepsaanbod dagen per "&amp;F15</f>
        <v xml:space="preserve">Groepsaanbod dagen per </v>
      </c>
      <c r="I15" s="123"/>
      <c r="J15" s="124"/>
      <c r="K15" s="14">
        <f>D15</f>
        <v>0</v>
      </c>
    </row>
    <row r="16" spans="1:11" x14ac:dyDescent="0.25">
      <c r="B16" s="12">
        <v>6</v>
      </c>
      <c r="C16" s="35" t="s">
        <v>183</v>
      </c>
      <c r="D16" s="13"/>
      <c r="E16" s="30" t="s">
        <v>60</v>
      </c>
      <c r="F16" s="7"/>
      <c r="G16" s="7"/>
      <c r="H16" s="44" t="str">
        <f>"Uren groepsaanbod per "&amp;F15</f>
        <v xml:space="preserve">Uren groepsaanbod per </v>
      </c>
      <c r="I16" s="46"/>
      <c r="J16" s="45"/>
      <c r="K16" s="12">
        <f>IF(ISNUMBER(D27),D27,"")</f>
        <v>0</v>
      </c>
    </row>
    <row r="17" spans="1:11" x14ac:dyDescent="0.25">
      <c r="B17" s="12">
        <v>7</v>
      </c>
      <c r="C17" s="34" t="s">
        <v>51</v>
      </c>
      <c r="D17" s="13"/>
      <c r="E17" s="25"/>
      <c r="F17" s="7"/>
      <c r="G17" s="16"/>
      <c r="H17" s="44" t="str">
        <f>"Duur toewijzing ("&amp;E17&amp;")"</f>
        <v>Duur toewijzing ()</v>
      </c>
      <c r="I17" s="46"/>
      <c r="J17" s="45"/>
      <c r="K17" s="17">
        <f>D17</f>
        <v>0</v>
      </c>
    </row>
    <row r="18" spans="1:11" x14ac:dyDescent="0.25">
      <c r="B18" s="12">
        <v>8</v>
      </c>
      <c r="C18" s="34" t="str">
        <f>IF(AND(D18=Lijsten!$E$6,'Rekenhulp ambulant budget'!D8="duurzaam"),"Intensiteit groepsaanbod ('zwaar' alleen bij KDC's!!)","Intensiteit groepsaanbod")</f>
        <v>Intensiteit groepsaanbod</v>
      </c>
      <c r="D18" s="15"/>
      <c r="E18" s="16"/>
      <c r="F18" s="16"/>
      <c r="G18" s="16"/>
      <c r="H18" s="44" t="s">
        <v>72</v>
      </c>
      <c r="I18" s="46"/>
      <c r="J18" s="45"/>
      <c r="K18" s="19">
        <f>IFERROR(IF(ISNUMBER(D27),IF(F15=Lijsten!$K$24,D27,D27*D17*INDEX(vannaar,MATCH(F15,vannaara,0),MATCH(E17,vannaar1,0))),""),)</f>
        <v>0</v>
      </c>
    </row>
    <row r="19" spans="1:11" x14ac:dyDescent="0.25">
      <c r="B19" s="55"/>
      <c r="C19" s="57" t="s">
        <v>91</v>
      </c>
      <c r="D19" s="57"/>
      <c r="E19" s="16"/>
      <c r="F19" s="16"/>
      <c r="G19" s="16"/>
      <c r="H19" s="44" t="s">
        <v>24</v>
      </c>
      <c r="I19" s="46"/>
      <c r="J19" s="45"/>
      <c r="K19" s="20" t="str">
        <f>IF(D18&lt;&gt;"",RIGHT(D18,LEN(D18)),"")</f>
        <v/>
      </c>
    </row>
    <row r="20" spans="1:11" x14ac:dyDescent="0.25">
      <c r="B20" s="12">
        <v>9</v>
      </c>
      <c r="C20" s="34" t="s">
        <v>107</v>
      </c>
      <c r="D20" s="13"/>
      <c r="E20" s="13"/>
      <c r="F20" s="13"/>
      <c r="G20" s="18"/>
      <c r="H20" s="90" t="s">
        <v>25</v>
      </c>
      <c r="I20" s="91"/>
      <c r="J20" s="92"/>
      <c r="K20" s="94">
        <f>IF(ISNUMBER(D29),D29,"")</f>
        <v>0</v>
      </c>
    </row>
    <row r="21" spans="1:11" x14ac:dyDescent="0.25">
      <c r="B21" s="12">
        <v>10</v>
      </c>
      <c r="C21" s="34" t="s">
        <v>50</v>
      </c>
      <c r="D21" s="13"/>
      <c r="E21" s="51"/>
      <c r="F21" s="7"/>
      <c r="G21" s="7"/>
      <c r="H21" s="44" t="str">
        <f>IFERROR(REPLACE(LEFT(E20,LEN(E20)-4),1,1,UPPER(LEFT(E20,1)))&amp;" ambulante jeugdhulp per "&amp;F20,"")</f>
        <v/>
      </c>
      <c r="I21" s="46"/>
      <c r="J21" s="45"/>
      <c r="K21" s="14">
        <f>D20</f>
        <v>0</v>
      </c>
    </row>
    <row r="22" spans="1:11" x14ac:dyDescent="0.25">
      <c r="B22" s="12">
        <v>11</v>
      </c>
      <c r="C22" s="34" t="s">
        <v>110</v>
      </c>
      <c r="D22" s="52"/>
      <c r="E22" s="40"/>
      <c r="F22" s="40"/>
      <c r="G22" s="7"/>
      <c r="H22" s="44" t="str">
        <f>"Duur toewijzing ("&amp;E21&amp;")"</f>
        <v>Duur toewijzing ()</v>
      </c>
      <c r="I22" s="46"/>
      <c r="J22" s="45"/>
      <c r="K22" s="17">
        <f>D21</f>
        <v>0</v>
      </c>
    </row>
    <row r="23" spans="1:11" x14ac:dyDescent="0.25">
      <c r="B23" s="12">
        <v>12</v>
      </c>
      <c r="C23" s="36" t="str">
        <f>IF(E20=Lijsten!J3,"Gemiddeld rekentarief per minuut ambulante jeugdhulp","Gemiddeld uurtarief ambulante jeugdhulp")</f>
        <v>Gemiddeld uurtarief ambulante jeugdhulp</v>
      </c>
      <c r="D23" s="32" t="str">
        <f>IF($D$10="Nee","nvt (toewijzing zonder ambulante jeugdhulp)",IFERROR(INDEX(Lijsten!$B$3:$D$7,MATCH(D22,Perceel,0),1)/IF(E20=Lijsten!J3,60,1),""))</f>
        <v/>
      </c>
      <c r="E23" s="7"/>
      <c r="F23" s="7"/>
      <c r="G23" s="7"/>
      <c r="H23" s="44" t="str">
        <f>IFERROR(REPLACE(LEFT(E20,LEN(E20)-4),1,1,UPPER(LEFT(E20,1)))&amp;" beschikking ambulante jeugdhulp","Totaal beschikking ambulant")</f>
        <v>Totaal beschikking ambulant</v>
      </c>
      <c r="I23" s="46"/>
      <c r="J23" s="45"/>
      <c r="K23" s="101">
        <f>IFERROR(D30/D23,)</f>
        <v>0</v>
      </c>
    </row>
    <row r="24" spans="1:11" x14ac:dyDescent="0.25">
      <c r="A24" s="7"/>
      <c r="B24" s="12">
        <v>13</v>
      </c>
      <c r="C24" s="12" t="s">
        <v>182</v>
      </c>
      <c r="D24" s="47"/>
      <c r="E24" s="7" t="s">
        <v>82</v>
      </c>
      <c r="F24" s="7"/>
      <c r="G24" s="7"/>
      <c r="H24" s="44" t="s">
        <v>29</v>
      </c>
      <c r="I24" s="46"/>
      <c r="J24" s="45"/>
      <c r="K24" s="21" t="str">
        <f>IF(D24="",D23,D24)</f>
        <v/>
      </c>
    </row>
    <row r="25" spans="1:11" ht="15.75" thickBot="1" x14ac:dyDescent="0.3">
      <c r="E25" s="7"/>
      <c r="F25" s="7"/>
      <c r="G25" s="7"/>
      <c r="H25" s="90" t="s">
        <v>113</v>
      </c>
      <c r="I25" s="91"/>
      <c r="J25" s="92"/>
      <c r="K25" s="93">
        <f>IF(ISNUMBER(D30),D30,"")</f>
        <v>0</v>
      </c>
    </row>
    <row r="26" spans="1:11" ht="15.75" thickBot="1" x14ac:dyDescent="0.3">
      <c r="B26" s="87"/>
      <c r="C26" s="88" t="s">
        <v>26</v>
      </c>
      <c r="D26" s="105" t="s">
        <v>27</v>
      </c>
      <c r="E26" s="7"/>
      <c r="F26" s="7"/>
      <c r="G26" s="7"/>
      <c r="H26" s="65" t="s">
        <v>114</v>
      </c>
      <c r="I26" s="66"/>
      <c r="J26" s="67"/>
      <c r="K26" s="68" t="str">
        <f>IF(Lijsten!V5&gt;0,Lijsten!V5,"")</f>
        <v/>
      </c>
    </row>
    <row r="27" spans="1:11" x14ac:dyDescent="0.25">
      <c r="B27" s="12">
        <v>14</v>
      </c>
      <c r="C27" s="36" t="str">
        <f>"Uren per "&amp;F15&amp;" groepsaanbod"</f>
        <v>Uren per  groepsaanbod</v>
      </c>
      <c r="D27" s="106">
        <f>IF($D$9="Nee","nvt (toewijzing zonder groepsaanbod)",IF(COUNTA(D15:D16)=2,D15*D16,))</f>
        <v>0</v>
      </c>
      <c r="E27" s="7"/>
      <c r="F27" s="7"/>
      <c r="G27" s="22"/>
      <c r="H27" s="113" t="str">
        <f ca="1">Versiebeheer!A3&amp;" ("&amp;TEXT(Versiebeheer!A5,"dd-mm-jjjj")&amp;"). Timestamp berekening: "&amp;TEXT(NOW(),"d-m-jjjj uu:mm")</f>
        <v>Rekenhulp ambulant budget (21-12-2022). Timestamp berekening: 11-1-2023 13:45</v>
      </c>
      <c r="I27" s="114"/>
      <c r="J27" s="114"/>
      <c r="K27" s="115"/>
    </row>
    <row r="28" spans="1:11" ht="14.45" customHeight="1" x14ac:dyDescent="0.25">
      <c r="B28" s="12">
        <v>15</v>
      </c>
      <c r="C28" s="36" t="s">
        <v>28</v>
      </c>
      <c r="D28" s="107" t="str">
        <f>IF($D$9="Nee","nvt (toewijzing zonder groepsaanbod)",IFERROR(INDEX(Lijsten!$E$3:$F$7,MATCH(D18,duurzaam,0),2),""))</f>
        <v/>
      </c>
      <c r="E28" s="7"/>
      <c r="F28" s="7"/>
      <c r="G28" s="22"/>
    </row>
    <row r="29" spans="1:11" x14ac:dyDescent="0.25">
      <c r="B29" s="12">
        <v>16</v>
      </c>
      <c r="C29" s="37" t="s">
        <v>25</v>
      </c>
      <c r="D29" s="108">
        <f>IF($D$9="Nee","nvt (toewijzing zonder groepsaanbod)",IF(AND(ISNUMBER(D27),ISNUMBER(D17),ISNUMBER(D28)),IF(F15=Lijsten!K24,D27*D28,D17*D27*D28*INDEX(vannaar,MATCH(F15,vannaara,0),MATCH(E17,vannaar1,0))),))</f>
        <v>0</v>
      </c>
      <c r="E29" s="7"/>
      <c r="F29" s="7"/>
    </row>
    <row r="30" spans="1:11" x14ac:dyDescent="0.25">
      <c r="B30" s="12">
        <v>17</v>
      </c>
      <c r="C30" s="37" t="s">
        <v>113</v>
      </c>
      <c r="D30" s="23">
        <f>IF($D$10="Nee","nvt (toewijzing zonder ambulante jeugdhulp)",IF(COUNTA(D8,D20,D21,D22,E20,F20,E21)=7,IF(F20=Lijsten!K24,D20*IF(AND(D23&lt;&gt;0,D24&gt;0),D24,D23),D20*D21*IF(AND(D23&lt;&gt;0,D24&gt;0),D24,D23)*INDEX(vannaar,MATCH(F20,vannaara,0),MATCH(E21,vannaar1,0))),))</f>
        <v>0</v>
      </c>
      <c r="E30" s="7"/>
      <c r="F30" s="7"/>
    </row>
  </sheetData>
  <sheetProtection algorithmName="SHA-512" hashValue="l8/sudEK7nxZfnr0BkLd8TUwldXn7PDb8lV7Yziasswo09ebvNhBcMJ2kV+FBheH2Nr0QKOX9OgVEQBmkSFbsg==" saltValue="kHdTMh5KVx7enqgfMlWREA==" spinCount="100000" sheet="1" formatColumns="0" formatRows="0"/>
  <mergeCells count="9">
    <mergeCell ref="H27:K27"/>
    <mergeCell ref="D2:F4"/>
    <mergeCell ref="H2:I2"/>
    <mergeCell ref="H14:K14"/>
    <mergeCell ref="H15:J15"/>
    <mergeCell ref="H13:K13"/>
    <mergeCell ref="E13:F13"/>
    <mergeCell ref="E6:F8"/>
    <mergeCell ref="E14:F14"/>
  </mergeCells>
  <conditionalFormatting sqref="D21">
    <cfRule type="expression" dxfId="20" priority="72">
      <formula>AND(D8="Duurzaam",D21&lt;&gt;1,D21&lt;&gt;0)</formula>
    </cfRule>
  </conditionalFormatting>
  <conditionalFormatting sqref="D17">
    <cfRule type="expression" dxfId="19" priority="70">
      <formula>AND(D8="Duurzaam",D17&lt;&gt;1,D17&lt;&gt;0)</formula>
    </cfRule>
  </conditionalFormatting>
  <conditionalFormatting sqref="D15:D18 F15 D17:E17">
    <cfRule type="expression" dxfId="18" priority="34">
      <formula>OR($D$9="Nee",ISBLANK($D$9))</formula>
    </cfRule>
  </conditionalFormatting>
  <conditionalFormatting sqref="D20:D22 D24 E20:F20 E21">
    <cfRule type="expression" dxfId="17" priority="24">
      <formula>OR($D$10="Nee",ISBLANK($D$10))</formula>
    </cfRule>
  </conditionalFormatting>
  <conditionalFormatting sqref="C18:C19">
    <cfRule type="expression" dxfId="16" priority="66">
      <formula>C18="Intensiteit groepsaanbod ('zwaar' alleen bij KDC's!!)"</formula>
    </cfRule>
  </conditionalFormatting>
  <conditionalFormatting sqref="E20:F20">
    <cfRule type="expression" dxfId="15" priority="69">
      <formula>OR($D$9="Nee",ISBLANK($D$9))</formula>
    </cfRule>
  </conditionalFormatting>
  <conditionalFormatting sqref="E20:F20">
    <cfRule type="expression" dxfId="14" priority="37">
      <formula>OR($D$10="Nee",ISBLANK($D$10))</formula>
    </cfRule>
  </conditionalFormatting>
  <conditionalFormatting sqref="E17">
    <cfRule type="expression" dxfId="13" priority="25">
      <formula>NOT(ISBLANK(E17))</formula>
    </cfRule>
    <cfRule type="expression" dxfId="12" priority="27">
      <formula>ISBLANK(E17)</formula>
    </cfRule>
  </conditionalFormatting>
  <conditionalFormatting sqref="E17">
    <cfRule type="expression" dxfId="11" priority="26">
      <formula>OR($D$9="Nee",ISBLANK($D$9))</formula>
    </cfRule>
  </conditionalFormatting>
  <conditionalFormatting sqref="D15:D18 E20:F20 D8:D11 F15 D17:E17 D21:E21 D20:D22">
    <cfRule type="expression" dxfId="10" priority="73">
      <formula>NOT(ISBLANK(D8))</formula>
    </cfRule>
  </conditionalFormatting>
  <conditionalFormatting sqref="D24">
    <cfRule type="expression" dxfId="9" priority="16">
      <formula>OR($D$10="Nee",ISBLANK($D$10))</formula>
    </cfRule>
  </conditionalFormatting>
  <conditionalFormatting sqref="D24">
    <cfRule type="expression" dxfId="8" priority="15">
      <formula>NOT(ISBLANK(D24))</formula>
    </cfRule>
  </conditionalFormatting>
  <conditionalFormatting sqref="D15:D18 E20:F20 D8:D10 F15 D17:E17 D21:E21 D20:D22">
    <cfRule type="expression" dxfId="7" priority="67">
      <formula>ISBLANK(D8)</formula>
    </cfRule>
  </conditionalFormatting>
  <conditionalFormatting sqref="D11">
    <cfRule type="expression" dxfId="6" priority="12">
      <formula>D11=""</formula>
    </cfRule>
  </conditionalFormatting>
  <conditionalFormatting sqref="D24">
    <cfRule type="expression" dxfId="5" priority="11">
      <formula>NOT(ISBLANK(D24))</formula>
    </cfRule>
  </conditionalFormatting>
  <conditionalFormatting sqref="D21">
    <cfRule type="expression" dxfId="4" priority="3">
      <formula>AND(D12="Duurzaam",D21&lt;&gt;1,D21&lt;&gt;0)</formula>
    </cfRule>
  </conditionalFormatting>
  <dataValidations count="8">
    <dataValidation type="list" allowBlank="1" showInputMessage="1" showErrorMessage="1" sqref="F15 F20" xr:uid="{BB638A6C-695E-4A0E-A8F5-6ED75DB14E26}">
      <formula1>eenheid</formula1>
    </dataValidation>
    <dataValidation type="list" allowBlank="1" showInputMessage="1" showErrorMessage="1" sqref="E20" xr:uid="{EC8E8B54-4B1B-4C79-9702-012B1473B65F}">
      <formula1>tijd</formula1>
    </dataValidation>
    <dataValidation type="list" allowBlank="1" showInputMessage="1" showErrorMessage="1" sqref="D8" xr:uid="{AE02E420-CA3A-4080-B119-1247D114FDBB}">
      <formula1>"Duurzaam,Herstel"</formula1>
    </dataValidation>
    <dataValidation type="list" allowBlank="1" showInputMessage="1" showErrorMessage="1" sqref="D18" xr:uid="{BF8450BC-7591-4A1C-9218-8B1EBBB3DAE1}">
      <formula1>INDIRECT($D$8)</formula1>
    </dataValidation>
    <dataValidation type="list" allowBlank="1" showInputMessage="1" showErrorMessage="1" sqref="D9:D10" xr:uid="{ACAAF7A0-A644-494A-8E70-646B6E554FF3}">
      <formula1>"Ja,Nee"</formula1>
    </dataValidation>
    <dataValidation type="list" allowBlank="1" showInputMessage="1" showErrorMessage="1" sqref="E17" xr:uid="{FB896956-EAA3-4C4F-BF22-DC18DE5BD91D}">
      <formula1>INDIRECT($D$8&amp;$D$9)</formula1>
    </dataValidation>
    <dataValidation type="list" allowBlank="1" showInputMessage="1" showErrorMessage="1" sqref="E21" xr:uid="{4D491EAC-208C-477D-9B46-6E0F380C0BF8}">
      <formula1>INDIRECT($D$8&amp;$D$10)</formula1>
    </dataValidation>
    <dataValidation type="list" allowBlank="1" showInputMessage="1" showErrorMessage="1" sqref="D22" xr:uid="{4BD6E822-0954-4ACB-AD0F-3BB5F366F650}">
      <formula1>Perceel</formula1>
    </dataValidation>
  </dataValidations>
  <pageMargins left="0.70866141732283472" right="0.70866141732283472" top="0.74803149606299213" bottom="0.74803149606299213" header="0.31496062992125984" footer="0.31496062992125984"/>
  <pageSetup paperSize="9" scale="78" orientation="landscape" r:id="rId1"/>
  <headerFooter>
    <oddFooter>&amp;F</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74" id="{0F793FD6-7849-4EB8-9B1E-346A9E5C5D57}">
            <xm:f>TODAY()&gt;Lijsten!$F$2</xm:f>
            <x14:dxf>
              <font>
                <color theme="0"/>
              </font>
              <fill>
                <patternFill patternType="none">
                  <bgColor auto="1"/>
                </patternFill>
              </fill>
              <border>
                <left/>
                <right/>
                <top/>
                <bottom/>
                <vertical/>
                <horizontal/>
              </border>
            </x14:dxf>
          </x14:cfRule>
          <xm:sqref>C6:C10 C17:C22 E20:F20 F18:F19 G12:G30 B26 B27:D30 K12 H13:I13 I6 G11:J11 F6:F9 H6:H10 B5:B11 B13:B22 D7:D11 K5:K10 B23:D24 C13:E13 F15 K15:K26 H15:I26 D16:D18 D20:D22 C15:D15 C14 E15:E21</xm:sqref>
        </x14:conditionalFormatting>
        <x14:conditionalFormatting xmlns:xm="http://schemas.microsoft.com/office/excel/2006/main">
          <x14:cfRule type="expression" priority="28" id="{E8348D21-1057-4FD2-A93B-3C540B48BC95}">
            <xm:f>TODAY()&gt;Lijsten!$F$2</xm:f>
            <x14:dxf>
              <font>
                <color theme="0"/>
              </font>
              <fill>
                <patternFill patternType="none">
                  <bgColor auto="1"/>
                </patternFill>
              </fill>
              <border>
                <left/>
                <right/>
                <top/>
                <bottom/>
                <vertical/>
                <horizontal/>
              </border>
            </x14:dxf>
          </x14:cfRule>
          <xm:sqref>E17</xm:sqref>
        </x14:conditionalFormatting>
        <x14:conditionalFormatting xmlns:xm="http://schemas.microsoft.com/office/excel/2006/main">
          <x14:cfRule type="expression" priority="68" id="{D3B37829-0496-40CC-B6A9-9D8BC2231050}">
            <xm:f>AND($D$8="Duurzaam",E17&lt;&gt;Lijsten!$N$3,E17&lt;&gt;0)</xm:f>
            <x14:dxf>
              <fill>
                <patternFill>
                  <bgColor rgb="FFFF0000"/>
                </patternFill>
              </fill>
            </x14:dxf>
          </x14:cfRule>
          <xm:sqref>E17 E21</xm:sqref>
        </x14:conditionalFormatting>
        <x14:conditionalFormatting xmlns:xm="http://schemas.microsoft.com/office/excel/2006/main">
          <x14:cfRule type="expression" priority="13" id="{BDFFB8DF-CBF6-4242-8F28-96EEC75DE9DA}">
            <xm:f>TODAY()&gt;Lijsten!$F$2</xm:f>
            <x14:dxf>
              <font>
                <color theme="0"/>
              </font>
              <fill>
                <patternFill patternType="none">
                  <bgColor auto="1"/>
                </patternFill>
              </fill>
              <border>
                <left/>
                <right/>
                <top/>
                <bottom/>
                <vertical/>
                <horizontal/>
              </border>
            </x14:dxf>
          </x14:cfRule>
          <xm:sqref>H14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25B96-1CEE-4177-9267-7B99D0F604A9}">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48325-CDA8-407B-B18C-B9620BEEB0B8}">
  <dimension ref="A1:J102"/>
  <sheetViews>
    <sheetView workbookViewId="0">
      <pane ySplit="2" topLeftCell="A3" activePane="bottomLeft" state="frozen"/>
      <selection pane="bottomLeft" activeCell="C8" sqref="C8"/>
    </sheetView>
  </sheetViews>
  <sheetFormatPr defaultColWidth="9.140625" defaultRowHeight="15" x14ac:dyDescent="0.25"/>
  <cols>
    <col min="1" max="1" width="4" style="61" bestFit="1" customWidth="1"/>
    <col min="2" max="2" width="15.85546875" style="61" customWidth="1"/>
    <col min="3" max="3" width="50.7109375" style="61" customWidth="1"/>
    <col min="4" max="4" width="13.5703125" style="61" customWidth="1"/>
    <col min="5" max="5" width="20.140625" style="61" customWidth="1"/>
    <col min="6" max="6" width="47" style="61" customWidth="1"/>
    <col min="7" max="7" width="15.28515625" style="61" customWidth="1"/>
    <col min="8" max="8" width="17.7109375" style="61" customWidth="1"/>
    <col min="9" max="9" width="14.7109375" style="61" customWidth="1"/>
    <col min="10" max="10" width="9.140625" style="61"/>
    <col min="11" max="16384" width="9.140625" style="54"/>
  </cols>
  <sheetData>
    <row r="1" spans="1:10" x14ac:dyDescent="0.25">
      <c r="H1" s="130" t="s">
        <v>135</v>
      </c>
      <c r="I1" s="130"/>
    </row>
    <row r="2" spans="1:10" s="53" customFormat="1" ht="30" x14ac:dyDescent="0.25">
      <c r="A2" s="63" t="s">
        <v>84</v>
      </c>
      <c r="B2" s="63" t="s">
        <v>85</v>
      </c>
      <c r="C2" s="63" t="s">
        <v>86</v>
      </c>
      <c r="D2" s="63" t="s">
        <v>105</v>
      </c>
      <c r="E2" s="63" t="s">
        <v>87</v>
      </c>
      <c r="F2" s="63" t="s">
        <v>89</v>
      </c>
      <c r="G2" s="63" t="s">
        <v>88</v>
      </c>
      <c r="H2" s="63" t="s">
        <v>136</v>
      </c>
      <c r="I2" s="63" t="s">
        <v>137</v>
      </c>
      <c r="J2" s="63" t="s">
        <v>156</v>
      </c>
    </row>
    <row r="3" spans="1:10" ht="45" x14ac:dyDescent="0.25">
      <c r="A3" s="61">
        <v>1</v>
      </c>
      <c r="B3" s="61" t="s">
        <v>92</v>
      </c>
      <c r="C3" s="61" t="s">
        <v>96</v>
      </c>
      <c r="E3" s="61" t="s">
        <v>95</v>
      </c>
      <c r="F3" s="62" t="s">
        <v>138</v>
      </c>
      <c r="G3" s="61" t="s">
        <v>141</v>
      </c>
      <c r="H3" s="61" t="s">
        <v>92</v>
      </c>
      <c r="I3" s="61" t="s">
        <v>106</v>
      </c>
      <c r="J3" s="61" t="s">
        <v>157</v>
      </c>
    </row>
    <row r="4" spans="1:10" x14ac:dyDescent="0.25">
      <c r="A4" s="84">
        <v>2</v>
      </c>
      <c r="B4" s="84" t="s">
        <v>92</v>
      </c>
      <c r="C4" s="84" t="s">
        <v>93</v>
      </c>
      <c r="D4" s="84"/>
      <c r="E4" s="84" t="s">
        <v>94</v>
      </c>
      <c r="F4" s="84" t="s">
        <v>139</v>
      </c>
      <c r="G4" s="84" t="s">
        <v>140</v>
      </c>
      <c r="H4" s="84"/>
      <c r="I4" s="89"/>
      <c r="J4" s="84"/>
    </row>
    <row r="5" spans="1:10" ht="90" x14ac:dyDescent="0.25">
      <c r="A5" s="61">
        <v>3</v>
      </c>
      <c r="B5" s="61" t="s">
        <v>92</v>
      </c>
      <c r="C5" s="61" t="s">
        <v>97</v>
      </c>
      <c r="E5" s="61" t="s">
        <v>143</v>
      </c>
      <c r="F5" s="61" t="s">
        <v>142</v>
      </c>
      <c r="G5" s="61" t="s">
        <v>141</v>
      </c>
      <c r="H5" s="61" t="s">
        <v>92</v>
      </c>
    </row>
    <row r="6" spans="1:10" ht="45" x14ac:dyDescent="0.25">
      <c r="A6" s="84">
        <v>4</v>
      </c>
      <c r="B6" s="84" t="s">
        <v>92</v>
      </c>
      <c r="C6" s="84" t="s">
        <v>98</v>
      </c>
      <c r="D6" s="84">
        <v>12</v>
      </c>
      <c r="E6" s="84" t="s">
        <v>99</v>
      </c>
      <c r="F6" s="84" t="s">
        <v>145</v>
      </c>
      <c r="G6" s="84" t="s">
        <v>144</v>
      </c>
      <c r="H6" s="84"/>
      <c r="I6" s="89"/>
      <c r="J6" s="84" t="s">
        <v>164</v>
      </c>
    </row>
    <row r="7" spans="1:10" ht="45" x14ac:dyDescent="0.25">
      <c r="A7" s="61">
        <v>5</v>
      </c>
      <c r="B7" s="61" t="s">
        <v>106</v>
      </c>
      <c r="C7" s="61" t="s">
        <v>108</v>
      </c>
      <c r="D7" s="61" t="s">
        <v>109</v>
      </c>
      <c r="F7" s="61" t="s">
        <v>165</v>
      </c>
      <c r="G7" s="61" t="s">
        <v>141</v>
      </c>
      <c r="I7" s="61" t="s">
        <v>106</v>
      </c>
    </row>
    <row r="8" spans="1:10" ht="30" x14ac:dyDescent="0.25">
      <c r="A8" s="61">
        <v>6</v>
      </c>
      <c r="B8" s="61" t="s">
        <v>101</v>
      </c>
      <c r="C8" s="61" t="s">
        <v>118</v>
      </c>
      <c r="E8" s="61" t="s">
        <v>119</v>
      </c>
      <c r="F8" s="61" t="s">
        <v>146</v>
      </c>
      <c r="G8" s="61" t="s">
        <v>141</v>
      </c>
      <c r="H8" s="61" t="s">
        <v>92</v>
      </c>
      <c r="J8" s="61" t="s">
        <v>157</v>
      </c>
    </row>
    <row r="9" spans="1:10" ht="75" x14ac:dyDescent="0.25">
      <c r="A9" s="61">
        <v>7</v>
      </c>
      <c r="B9" s="61" t="s">
        <v>101</v>
      </c>
      <c r="C9" s="69" t="s">
        <v>148</v>
      </c>
      <c r="E9" s="61" t="s">
        <v>120</v>
      </c>
      <c r="F9" s="61" t="s">
        <v>147</v>
      </c>
      <c r="G9" s="61" t="s">
        <v>141</v>
      </c>
      <c r="H9" s="61" t="s">
        <v>92</v>
      </c>
    </row>
    <row r="10" spans="1:10" ht="90" x14ac:dyDescent="0.25">
      <c r="A10" s="84">
        <v>8</v>
      </c>
      <c r="B10" s="84" t="s">
        <v>101</v>
      </c>
      <c r="C10" s="84" t="s">
        <v>149</v>
      </c>
      <c r="D10" s="84"/>
      <c r="E10" s="84"/>
      <c r="F10" s="84" t="s">
        <v>152</v>
      </c>
      <c r="G10" s="84" t="s">
        <v>140</v>
      </c>
      <c r="H10" s="84"/>
      <c r="I10" s="89"/>
      <c r="J10" s="84"/>
    </row>
    <row r="11" spans="1:10" ht="60" x14ac:dyDescent="0.25">
      <c r="A11" s="61">
        <v>9</v>
      </c>
      <c r="B11" s="61" t="s">
        <v>121</v>
      </c>
      <c r="C11" s="61" t="s">
        <v>122</v>
      </c>
      <c r="F11" s="61" t="s">
        <v>166</v>
      </c>
      <c r="G11" s="61" t="s">
        <v>140</v>
      </c>
      <c r="H11" s="61" t="s">
        <v>92</v>
      </c>
      <c r="I11" s="64"/>
    </row>
    <row r="12" spans="1:10" x14ac:dyDescent="0.25">
      <c r="A12" s="61">
        <v>10</v>
      </c>
      <c r="B12" s="61" t="s">
        <v>121</v>
      </c>
      <c r="C12" s="61" t="s">
        <v>123</v>
      </c>
      <c r="D12" s="61">
        <v>7</v>
      </c>
      <c r="E12" s="61" t="s">
        <v>130</v>
      </c>
      <c r="F12" s="61" t="s">
        <v>155</v>
      </c>
      <c r="G12" s="61" t="s">
        <v>141</v>
      </c>
      <c r="I12" s="61" t="s">
        <v>106</v>
      </c>
      <c r="J12" s="61" t="s">
        <v>157</v>
      </c>
    </row>
    <row r="13" spans="1:10" x14ac:dyDescent="0.25">
      <c r="A13" s="61">
        <v>11</v>
      </c>
      <c r="B13" s="61" t="s">
        <v>121</v>
      </c>
      <c r="C13" s="61" t="s">
        <v>124</v>
      </c>
      <c r="D13" s="61">
        <v>12</v>
      </c>
      <c r="F13" s="61" t="s">
        <v>153</v>
      </c>
      <c r="G13" s="61" t="s">
        <v>141</v>
      </c>
      <c r="I13" s="61" t="s">
        <v>106</v>
      </c>
      <c r="J13" s="61" t="s">
        <v>157</v>
      </c>
    </row>
    <row r="14" spans="1:10" ht="30" x14ac:dyDescent="0.25">
      <c r="A14" s="84">
        <v>12</v>
      </c>
      <c r="B14" s="84" t="s">
        <v>121</v>
      </c>
      <c r="C14" s="84" t="s">
        <v>125</v>
      </c>
      <c r="D14" s="84">
        <v>4</v>
      </c>
      <c r="E14" s="84" t="s">
        <v>154</v>
      </c>
      <c r="F14" s="84" t="s">
        <v>167</v>
      </c>
      <c r="G14" s="84" t="s">
        <v>144</v>
      </c>
      <c r="H14" s="84"/>
      <c r="I14" s="89"/>
      <c r="J14" s="84"/>
    </row>
    <row r="15" spans="1:10" ht="30" x14ac:dyDescent="0.25">
      <c r="A15" s="61">
        <v>13</v>
      </c>
      <c r="B15" s="61" t="s">
        <v>126</v>
      </c>
      <c r="C15" s="61" t="s">
        <v>127</v>
      </c>
      <c r="E15" s="61" t="s">
        <v>128</v>
      </c>
      <c r="F15" s="61" t="s">
        <v>168</v>
      </c>
      <c r="G15" s="61" t="s">
        <v>141</v>
      </c>
      <c r="H15" s="61" t="s">
        <v>92</v>
      </c>
    </row>
    <row r="16" spans="1:10" x14ac:dyDescent="0.25">
      <c r="A16" s="61">
        <v>14</v>
      </c>
      <c r="B16" s="61" t="s">
        <v>126</v>
      </c>
      <c r="C16" s="61" t="s">
        <v>129</v>
      </c>
      <c r="D16" s="61">
        <v>7</v>
      </c>
      <c r="E16" s="61" t="s">
        <v>130</v>
      </c>
      <c r="F16" s="61" t="s">
        <v>155</v>
      </c>
      <c r="G16" s="61" t="s">
        <v>141</v>
      </c>
      <c r="I16" s="61" t="s">
        <v>106</v>
      </c>
      <c r="J16" s="61" t="s">
        <v>157</v>
      </c>
    </row>
    <row r="17" spans="1:10" ht="30" x14ac:dyDescent="0.25">
      <c r="A17" s="61">
        <v>15</v>
      </c>
      <c r="B17" s="61" t="s">
        <v>126</v>
      </c>
      <c r="C17" s="61" t="s">
        <v>131</v>
      </c>
      <c r="E17" s="61" t="s">
        <v>132</v>
      </c>
      <c r="F17" s="62" t="s">
        <v>138</v>
      </c>
      <c r="G17" s="61" t="s">
        <v>141</v>
      </c>
      <c r="H17" s="61" t="s">
        <v>92</v>
      </c>
      <c r="I17" s="61" t="s">
        <v>106</v>
      </c>
      <c r="J17" s="61" t="s">
        <v>157</v>
      </c>
    </row>
    <row r="18" spans="1:10" ht="30" x14ac:dyDescent="0.25">
      <c r="A18" s="84">
        <v>16</v>
      </c>
      <c r="B18" s="84" t="s">
        <v>92</v>
      </c>
      <c r="C18" s="84" t="s">
        <v>150</v>
      </c>
      <c r="D18" s="84"/>
      <c r="E18" s="84"/>
      <c r="F18" s="84" t="s">
        <v>151</v>
      </c>
      <c r="G18" s="84" t="s">
        <v>140</v>
      </c>
      <c r="H18" s="84" t="s">
        <v>92</v>
      </c>
      <c r="I18" s="89"/>
      <c r="J18" s="84"/>
    </row>
    <row r="19" spans="1:10" ht="30" x14ac:dyDescent="0.25">
      <c r="A19" s="61">
        <v>17</v>
      </c>
      <c r="B19" s="61" t="s">
        <v>92</v>
      </c>
      <c r="C19" s="61" t="s">
        <v>178</v>
      </c>
      <c r="F19" s="61" t="s">
        <v>179</v>
      </c>
      <c r="G19" s="61" t="s">
        <v>140</v>
      </c>
      <c r="H19" s="61" t="s">
        <v>92</v>
      </c>
      <c r="I19" s="64"/>
    </row>
    <row r="20" spans="1:10" x14ac:dyDescent="0.25">
      <c r="A20" s="61">
        <v>18</v>
      </c>
      <c r="I20" s="64"/>
    </row>
    <row r="21" spans="1:10" x14ac:dyDescent="0.25">
      <c r="A21" s="61">
        <v>19</v>
      </c>
      <c r="I21" s="64"/>
    </row>
    <row r="22" spans="1:10" x14ac:dyDescent="0.25">
      <c r="A22" s="61">
        <v>20</v>
      </c>
      <c r="I22" s="64"/>
    </row>
    <row r="23" spans="1:10" x14ac:dyDescent="0.25">
      <c r="A23" s="61">
        <v>21</v>
      </c>
      <c r="I23" s="64"/>
    </row>
    <row r="24" spans="1:10" x14ac:dyDescent="0.25">
      <c r="A24" s="61">
        <v>22</v>
      </c>
      <c r="I24" s="64"/>
    </row>
    <row r="25" spans="1:10" x14ac:dyDescent="0.25">
      <c r="A25" s="61">
        <v>23</v>
      </c>
      <c r="I25" s="64"/>
    </row>
    <row r="26" spans="1:10" x14ac:dyDescent="0.25">
      <c r="A26" s="61">
        <v>24</v>
      </c>
      <c r="I26" s="64"/>
    </row>
    <row r="27" spans="1:10" x14ac:dyDescent="0.25">
      <c r="A27" s="61">
        <v>25</v>
      </c>
      <c r="I27" s="64"/>
    </row>
    <row r="28" spans="1:10" x14ac:dyDescent="0.25">
      <c r="A28" s="61">
        <v>26</v>
      </c>
      <c r="I28" s="64"/>
    </row>
    <row r="29" spans="1:10" x14ac:dyDescent="0.25">
      <c r="A29" s="61">
        <v>27</v>
      </c>
      <c r="I29" s="64"/>
    </row>
    <row r="30" spans="1:10" x14ac:dyDescent="0.25">
      <c r="A30" s="61">
        <v>28</v>
      </c>
      <c r="I30" s="64"/>
    </row>
    <row r="31" spans="1:10" x14ac:dyDescent="0.25">
      <c r="A31" s="61">
        <v>29</v>
      </c>
      <c r="I31" s="64"/>
    </row>
    <row r="32" spans="1:10" x14ac:dyDescent="0.25">
      <c r="A32" s="61">
        <v>30</v>
      </c>
      <c r="I32" s="64"/>
    </row>
    <row r="33" spans="1:9" x14ac:dyDescent="0.25">
      <c r="A33" s="61">
        <v>31</v>
      </c>
      <c r="I33" s="64"/>
    </row>
    <row r="34" spans="1:9" x14ac:dyDescent="0.25">
      <c r="A34" s="61">
        <v>32</v>
      </c>
      <c r="I34" s="64"/>
    </row>
    <row r="35" spans="1:9" x14ac:dyDescent="0.25">
      <c r="A35" s="61">
        <v>33</v>
      </c>
      <c r="I35" s="64"/>
    </row>
    <row r="36" spans="1:9" x14ac:dyDescent="0.25">
      <c r="A36" s="61">
        <v>34</v>
      </c>
      <c r="I36" s="64"/>
    </row>
    <row r="37" spans="1:9" x14ac:dyDescent="0.25">
      <c r="A37" s="61">
        <v>35</v>
      </c>
      <c r="I37" s="64"/>
    </row>
    <row r="38" spans="1:9" x14ac:dyDescent="0.25">
      <c r="A38" s="61">
        <v>36</v>
      </c>
      <c r="I38" s="64"/>
    </row>
    <row r="39" spans="1:9" x14ac:dyDescent="0.25">
      <c r="A39" s="61">
        <v>37</v>
      </c>
      <c r="I39" s="64"/>
    </row>
    <row r="40" spans="1:9" x14ac:dyDescent="0.25">
      <c r="A40" s="61">
        <v>38</v>
      </c>
      <c r="I40" s="64"/>
    </row>
    <row r="41" spans="1:9" x14ac:dyDescent="0.25">
      <c r="A41" s="61">
        <v>39</v>
      </c>
      <c r="I41" s="64"/>
    </row>
    <row r="42" spans="1:9" x14ac:dyDescent="0.25">
      <c r="A42" s="61">
        <v>40</v>
      </c>
      <c r="I42" s="64"/>
    </row>
    <row r="43" spans="1:9" x14ac:dyDescent="0.25">
      <c r="A43" s="61">
        <v>41</v>
      </c>
      <c r="I43" s="64"/>
    </row>
    <row r="44" spans="1:9" x14ac:dyDescent="0.25">
      <c r="A44" s="61">
        <v>42</v>
      </c>
      <c r="I44" s="64"/>
    </row>
    <row r="45" spans="1:9" x14ac:dyDescent="0.25">
      <c r="A45" s="61">
        <v>43</v>
      </c>
      <c r="I45" s="64"/>
    </row>
    <row r="46" spans="1:9" x14ac:dyDescent="0.25">
      <c r="A46" s="61">
        <v>44</v>
      </c>
      <c r="I46" s="64"/>
    </row>
    <row r="47" spans="1:9" x14ac:dyDescent="0.25">
      <c r="A47" s="61">
        <v>45</v>
      </c>
      <c r="I47" s="64"/>
    </row>
    <row r="48" spans="1:9" x14ac:dyDescent="0.25">
      <c r="A48" s="61">
        <v>46</v>
      </c>
      <c r="I48" s="64"/>
    </row>
    <row r="49" spans="1:9" x14ac:dyDescent="0.25">
      <c r="A49" s="61">
        <v>47</v>
      </c>
      <c r="I49" s="64"/>
    </row>
    <row r="50" spans="1:9" x14ac:dyDescent="0.25">
      <c r="A50" s="61">
        <v>48</v>
      </c>
      <c r="I50" s="64"/>
    </row>
    <row r="51" spans="1:9" x14ac:dyDescent="0.25">
      <c r="A51" s="61">
        <v>49</v>
      </c>
      <c r="I51" s="64"/>
    </row>
    <row r="52" spans="1:9" x14ac:dyDescent="0.25">
      <c r="A52" s="61">
        <v>50</v>
      </c>
      <c r="I52" s="64"/>
    </row>
    <row r="53" spans="1:9" x14ac:dyDescent="0.25">
      <c r="A53" s="61">
        <v>51</v>
      </c>
      <c r="I53" s="64"/>
    </row>
    <row r="54" spans="1:9" x14ac:dyDescent="0.25">
      <c r="A54" s="61">
        <v>52</v>
      </c>
      <c r="I54" s="64"/>
    </row>
    <row r="55" spans="1:9" x14ac:dyDescent="0.25">
      <c r="A55" s="61">
        <v>53</v>
      </c>
      <c r="I55" s="64"/>
    </row>
    <row r="56" spans="1:9" x14ac:dyDescent="0.25">
      <c r="A56" s="61">
        <v>54</v>
      </c>
      <c r="I56" s="64"/>
    </row>
    <row r="57" spans="1:9" x14ac:dyDescent="0.25">
      <c r="A57" s="61">
        <v>55</v>
      </c>
      <c r="I57" s="64"/>
    </row>
    <row r="58" spans="1:9" x14ac:dyDescent="0.25">
      <c r="A58" s="61">
        <v>56</v>
      </c>
      <c r="I58" s="64"/>
    </row>
    <row r="59" spans="1:9" x14ac:dyDescent="0.25">
      <c r="A59" s="61">
        <v>57</v>
      </c>
      <c r="I59" s="64"/>
    </row>
    <row r="60" spans="1:9" x14ac:dyDescent="0.25">
      <c r="A60" s="61">
        <v>58</v>
      </c>
      <c r="I60" s="64"/>
    </row>
    <row r="61" spans="1:9" x14ac:dyDescent="0.25">
      <c r="A61" s="61">
        <v>59</v>
      </c>
      <c r="I61" s="64"/>
    </row>
    <row r="62" spans="1:9" x14ac:dyDescent="0.25">
      <c r="A62" s="61">
        <v>60</v>
      </c>
      <c r="I62" s="64"/>
    </row>
    <row r="63" spans="1:9" x14ac:dyDescent="0.25">
      <c r="A63" s="61">
        <v>61</v>
      </c>
      <c r="I63" s="64"/>
    </row>
    <row r="64" spans="1:9" x14ac:dyDescent="0.25">
      <c r="A64" s="61">
        <v>62</v>
      </c>
      <c r="I64" s="64"/>
    </row>
    <row r="65" spans="1:9" x14ac:dyDescent="0.25">
      <c r="A65" s="61">
        <v>63</v>
      </c>
      <c r="I65" s="64"/>
    </row>
    <row r="66" spans="1:9" x14ac:dyDescent="0.25">
      <c r="A66" s="61">
        <v>64</v>
      </c>
      <c r="I66" s="64"/>
    </row>
    <row r="67" spans="1:9" x14ac:dyDescent="0.25">
      <c r="A67" s="61">
        <v>65</v>
      </c>
      <c r="I67" s="64"/>
    </row>
    <row r="68" spans="1:9" x14ac:dyDescent="0.25">
      <c r="A68" s="61">
        <v>66</v>
      </c>
      <c r="I68" s="64"/>
    </row>
    <row r="69" spans="1:9" x14ac:dyDescent="0.25">
      <c r="A69" s="61">
        <v>67</v>
      </c>
      <c r="I69" s="64"/>
    </row>
    <row r="70" spans="1:9" x14ac:dyDescent="0.25">
      <c r="A70" s="61">
        <v>68</v>
      </c>
      <c r="I70" s="64"/>
    </row>
    <row r="71" spans="1:9" x14ac:dyDescent="0.25">
      <c r="A71" s="61">
        <v>69</v>
      </c>
      <c r="I71" s="64"/>
    </row>
    <row r="72" spans="1:9" x14ac:dyDescent="0.25">
      <c r="A72" s="61">
        <v>70</v>
      </c>
      <c r="I72" s="64"/>
    </row>
    <row r="73" spans="1:9" x14ac:dyDescent="0.25">
      <c r="A73" s="61">
        <v>71</v>
      </c>
      <c r="I73" s="64"/>
    </row>
    <row r="74" spans="1:9" x14ac:dyDescent="0.25">
      <c r="A74" s="61">
        <v>72</v>
      </c>
      <c r="I74" s="64"/>
    </row>
    <row r="75" spans="1:9" x14ac:dyDescent="0.25">
      <c r="A75" s="61">
        <v>73</v>
      </c>
      <c r="I75" s="64"/>
    </row>
    <row r="76" spans="1:9" x14ac:dyDescent="0.25">
      <c r="A76" s="61">
        <v>74</v>
      </c>
      <c r="I76" s="64"/>
    </row>
    <row r="77" spans="1:9" x14ac:dyDescent="0.25">
      <c r="A77" s="61">
        <v>75</v>
      </c>
      <c r="I77" s="64"/>
    </row>
    <row r="78" spans="1:9" x14ac:dyDescent="0.25">
      <c r="A78" s="61">
        <v>76</v>
      </c>
      <c r="I78" s="64"/>
    </row>
    <row r="79" spans="1:9" x14ac:dyDescent="0.25">
      <c r="A79" s="61">
        <v>77</v>
      </c>
      <c r="I79" s="64"/>
    </row>
    <row r="80" spans="1:9" x14ac:dyDescent="0.25">
      <c r="A80" s="61">
        <v>78</v>
      </c>
      <c r="I80" s="64"/>
    </row>
    <row r="81" spans="1:9" x14ac:dyDescent="0.25">
      <c r="A81" s="61">
        <v>79</v>
      </c>
      <c r="I81" s="64"/>
    </row>
    <row r="82" spans="1:9" x14ac:dyDescent="0.25">
      <c r="A82" s="61">
        <v>80</v>
      </c>
      <c r="I82" s="64"/>
    </row>
    <row r="83" spans="1:9" x14ac:dyDescent="0.25">
      <c r="A83" s="61">
        <v>81</v>
      </c>
      <c r="I83" s="64"/>
    </row>
    <row r="84" spans="1:9" x14ac:dyDescent="0.25">
      <c r="A84" s="61">
        <v>82</v>
      </c>
      <c r="I84" s="64"/>
    </row>
    <row r="85" spans="1:9" x14ac:dyDescent="0.25">
      <c r="A85" s="61">
        <v>83</v>
      </c>
      <c r="H85" s="54"/>
      <c r="I85" s="54"/>
    </row>
    <row r="86" spans="1:9" x14ac:dyDescent="0.25">
      <c r="A86" s="61">
        <v>84</v>
      </c>
      <c r="H86" s="54"/>
      <c r="I86" s="54"/>
    </row>
    <row r="87" spans="1:9" x14ac:dyDescent="0.25">
      <c r="A87" s="61">
        <v>85</v>
      </c>
      <c r="H87" s="54"/>
      <c r="I87" s="54"/>
    </row>
    <row r="88" spans="1:9" x14ac:dyDescent="0.25">
      <c r="A88" s="61">
        <v>86</v>
      </c>
      <c r="H88" s="54"/>
      <c r="I88" s="54"/>
    </row>
    <row r="89" spans="1:9" x14ac:dyDescent="0.25">
      <c r="A89" s="61">
        <v>87</v>
      </c>
      <c r="H89" s="54"/>
      <c r="I89" s="54"/>
    </row>
    <row r="90" spans="1:9" x14ac:dyDescent="0.25">
      <c r="A90" s="61">
        <v>88</v>
      </c>
      <c r="H90" s="54"/>
      <c r="I90" s="54"/>
    </row>
    <row r="91" spans="1:9" x14ac:dyDescent="0.25">
      <c r="A91" s="61">
        <v>89</v>
      </c>
      <c r="H91" s="54"/>
      <c r="I91" s="54"/>
    </row>
    <row r="92" spans="1:9" x14ac:dyDescent="0.25">
      <c r="A92" s="61">
        <v>90</v>
      </c>
      <c r="H92" s="54"/>
      <c r="I92" s="54"/>
    </row>
    <row r="93" spans="1:9" x14ac:dyDescent="0.25">
      <c r="A93" s="61">
        <v>91</v>
      </c>
      <c r="H93" s="54"/>
      <c r="I93" s="54"/>
    </row>
    <row r="94" spans="1:9" x14ac:dyDescent="0.25">
      <c r="A94" s="61">
        <v>92</v>
      </c>
      <c r="H94" s="54"/>
      <c r="I94" s="54"/>
    </row>
    <row r="95" spans="1:9" x14ac:dyDescent="0.25">
      <c r="A95" s="61">
        <v>93</v>
      </c>
      <c r="H95" s="54"/>
      <c r="I95" s="54"/>
    </row>
    <row r="96" spans="1:9" x14ac:dyDescent="0.25">
      <c r="A96" s="61">
        <v>94</v>
      </c>
      <c r="H96" s="54"/>
      <c r="I96" s="54"/>
    </row>
    <row r="97" spans="1:9" x14ac:dyDescent="0.25">
      <c r="A97" s="61">
        <v>95</v>
      </c>
      <c r="H97" s="54"/>
      <c r="I97" s="54"/>
    </row>
    <row r="98" spans="1:9" x14ac:dyDescent="0.25">
      <c r="A98" s="61">
        <v>96</v>
      </c>
      <c r="H98" s="54"/>
      <c r="I98" s="54"/>
    </row>
    <row r="99" spans="1:9" x14ac:dyDescent="0.25">
      <c r="A99" s="61">
        <v>97</v>
      </c>
      <c r="H99" s="54"/>
      <c r="I99" s="54"/>
    </row>
    <row r="100" spans="1:9" x14ac:dyDescent="0.25">
      <c r="A100" s="61">
        <v>98</v>
      </c>
      <c r="H100" s="54"/>
      <c r="I100" s="54"/>
    </row>
    <row r="101" spans="1:9" x14ac:dyDescent="0.25">
      <c r="A101" s="61">
        <v>99</v>
      </c>
      <c r="H101" s="54"/>
      <c r="I101" s="54"/>
    </row>
    <row r="102" spans="1:9" x14ac:dyDescent="0.25">
      <c r="A102" s="61">
        <v>100</v>
      </c>
      <c r="H102" s="54"/>
      <c r="I102" s="54"/>
    </row>
  </sheetData>
  <autoFilter ref="A2:J102" xr:uid="{2A148325-CDA8-407B-B18C-B9620BEEB0B8}"/>
  <mergeCells count="1">
    <mergeCell ref="H1:I1"/>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69562-66F8-4C28-8156-D944F75DCF31}">
  <dimension ref="B1:V24"/>
  <sheetViews>
    <sheetView topLeftCell="G1" zoomScale="80" zoomScaleNormal="80" workbookViewId="0">
      <selection activeCell="AB23" sqref="AB23"/>
    </sheetView>
  </sheetViews>
  <sheetFormatPr defaultRowHeight="15" x14ac:dyDescent="0.25"/>
  <cols>
    <col min="2" max="2" width="11.7109375" bestFit="1" customWidth="1"/>
    <col min="3" max="3" width="6.28515625" bestFit="1" customWidth="1"/>
    <col min="4" max="4" width="44.7109375" bestFit="1" customWidth="1"/>
    <col min="5" max="5" width="34.7109375" bestFit="1" customWidth="1"/>
    <col min="6" max="6" width="11" bestFit="1" customWidth="1"/>
    <col min="7" max="7" width="31.7109375" bestFit="1" customWidth="1"/>
    <col min="8" max="8" width="10.28515625" bestFit="1" customWidth="1"/>
    <col min="9" max="9" width="10.140625" customWidth="1"/>
    <col min="10" max="10" width="20.28515625" bestFit="1" customWidth="1"/>
    <col min="11" max="11" width="12.42578125" bestFit="1" customWidth="1"/>
    <col min="12" max="13" width="12.7109375" bestFit="1" customWidth="1"/>
    <col min="14" max="14" width="24.85546875" bestFit="1" customWidth="1"/>
    <col min="15" max="15" width="10.28515625" bestFit="1" customWidth="1"/>
    <col min="16" max="16" width="24.85546875" bestFit="1" customWidth="1"/>
    <col min="17" max="17" width="9.85546875" bestFit="1" customWidth="1"/>
    <col min="18" max="18" width="11.28515625" bestFit="1" customWidth="1"/>
    <col min="19" max="19" width="19" bestFit="1" customWidth="1"/>
    <col min="20" max="20" width="9.7109375" bestFit="1" customWidth="1"/>
  </cols>
  <sheetData>
    <row r="1" spans="2:22" x14ac:dyDescent="0.25">
      <c r="F1" s="4" t="s">
        <v>2</v>
      </c>
    </row>
    <row r="2" spans="2:22" x14ac:dyDescent="0.25">
      <c r="B2" s="1" t="s">
        <v>3</v>
      </c>
      <c r="C2" s="1"/>
      <c r="E2" t="s">
        <v>4</v>
      </c>
      <c r="F2" s="5">
        <v>45291</v>
      </c>
      <c r="G2" s="3"/>
      <c r="H2" s="3" t="s">
        <v>38</v>
      </c>
      <c r="I2" s="3"/>
      <c r="J2" s="3" t="s">
        <v>47</v>
      </c>
      <c r="L2" t="s">
        <v>46</v>
      </c>
      <c r="N2" t="s">
        <v>52</v>
      </c>
      <c r="P2" t="s">
        <v>53</v>
      </c>
      <c r="S2" t="s">
        <v>67</v>
      </c>
      <c r="T2" t="s">
        <v>79</v>
      </c>
      <c r="V2" t="s">
        <v>231</v>
      </c>
    </row>
    <row r="3" spans="2:22" x14ac:dyDescent="0.25">
      <c r="B3" s="2">
        <v>85</v>
      </c>
      <c r="C3" s="2">
        <v>1.4166666666666667</v>
      </c>
      <c r="D3" t="s">
        <v>169</v>
      </c>
      <c r="E3" t="s">
        <v>174</v>
      </c>
      <c r="F3" s="2">
        <v>14.34</v>
      </c>
      <c r="G3" t="s">
        <v>5</v>
      </c>
      <c r="H3" t="s">
        <v>48</v>
      </c>
      <c r="J3" t="s">
        <v>69</v>
      </c>
      <c r="L3">
        <v>7</v>
      </c>
      <c r="N3" t="s">
        <v>44</v>
      </c>
      <c r="P3" s="26" t="s">
        <v>48</v>
      </c>
      <c r="R3" s="26" t="s">
        <v>38</v>
      </c>
      <c r="S3" t="s">
        <v>60</v>
      </c>
      <c r="T3" t="s">
        <v>74</v>
      </c>
      <c r="V3" s="24">
        <f>IF(ISNUMBER('Rekenhulp ambulant budget'!D29),'Rekenhulp ambulant budget'!D29,0)</f>
        <v>0</v>
      </c>
    </row>
    <row r="4" spans="2:22" x14ac:dyDescent="0.25">
      <c r="B4" s="2">
        <v>90</v>
      </c>
      <c r="C4" s="2">
        <v>1.5</v>
      </c>
      <c r="D4" t="s">
        <v>170</v>
      </c>
      <c r="E4" t="s">
        <v>175</v>
      </c>
      <c r="F4" s="2">
        <v>18.73</v>
      </c>
      <c r="G4" t="s">
        <v>6</v>
      </c>
      <c r="H4" t="s">
        <v>49</v>
      </c>
      <c r="J4" t="s">
        <v>68</v>
      </c>
      <c r="L4">
        <v>1</v>
      </c>
      <c r="P4" s="26" t="s">
        <v>56</v>
      </c>
      <c r="R4" s="26" t="s">
        <v>39</v>
      </c>
      <c r="S4" t="s">
        <v>61</v>
      </c>
      <c r="T4" t="s">
        <v>75</v>
      </c>
      <c r="V4" s="24">
        <f>IF(ISNUMBER('Rekenhulp ambulant budget'!D30),'Rekenhulp ambulant budget'!D30,0)</f>
        <v>0</v>
      </c>
    </row>
    <row r="5" spans="2:22" x14ac:dyDescent="0.25">
      <c r="B5" s="2">
        <v>95</v>
      </c>
      <c r="C5" s="2">
        <v>1.5833333333333333</v>
      </c>
      <c r="D5" t="s">
        <v>171</v>
      </c>
      <c r="E5" t="s">
        <v>176</v>
      </c>
      <c r="F5" s="2">
        <v>27.25</v>
      </c>
      <c r="G5" t="s">
        <v>7</v>
      </c>
      <c r="L5">
        <v>0.25</v>
      </c>
      <c r="P5" s="26" t="s">
        <v>71</v>
      </c>
      <c r="R5" s="26" t="s">
        <v>40</v>
      </c>
      <c r="S5" t="s">
        <v>62</v>
      </c>
      <c r="T5" t="s">
        <v>76</v>
      </c>
      <c r="V5" s="24">
        <f>V4+V3</f>
        <v>0</v>
      </c>
    </row>
    <row r="6" spans="2:22" x14ac:dyDescent="0.25">
      <c r="B6" s="2">
        <v>120</v>
      </c>
      <c r="C6" s="2">
        <v>2</v>
      </c>
      <c r="D6" t="s">
        <v>172</v>
      </c>
      <c r="E6" t="s">
        <v>177</v>
      </c>
      <c r="F6" s="2">
        <v>34.53</v>
      </c>
      <c r="G6" t="s">
        <v>8</v>
      </c>
      <c r="L6" s="24">
        <f>1/(365/12/7)</f>
        <v>0.23013698630136983</v>
      </c>
      <c r="M6">
        <f>52*L6</f>
        <v>11.967123287671232</v>
      </c>
      <c r="P6" s="26" t="s">
        <v>57</v>
      </c>
      <c r="R6" s="26" t="s">
        <v>41</v>
      </c>
      <c r="S6" t="s">
        <v>63</v>
      </c>
      <c r="T6" t="s">
        <v>77</v>
      </c>
    </row>
    <row r="7" spans="2:22" x14ac:dyDescent="0.25">
      <c r="B7" s="2">
        <v>130</v>
      </c>
      <c r="C7" s="2">
        <v>2.1666666666666665</v>
      </c>
      <c r="D7" t="s">
        <v>173</v>
      </c>
      <c r="G7" t="s">
        <v>9</v>
      </c>
      <c r="L7">
        <f>1/(52/4)</f>
        <v>7.6923076923076927E-2</v>
      </c>
      <c r="P7" s="26" t="s">
        <v>58</v>
      </c>
      <c r="R7" s="26" t="s">
        <v>42</v>
      </c>
      <c r="S7" t="s">
        <v>64</v>
      </c>
      <c r="T7" t="s">
        <v>78</v>
      </c>
    </row>
    <row r="8" spans="2:22" x14ac:dyDescent="0.25">
      <c r="G8" t="s">
        <v>10</v>
      </c>
      <c r="L8">
        <f>1/(52/2)</f>
        <v>3.8461538461538464E-2</v>
      </c>
      <c r="P8" s="26" t="s">
        <v>59</v>
      </c>
      <c r="R8" s="26" t="s">
        <v>43</v>
      </c>
      <c r="S8" t="s">
        <v>65</v>
      </c>
    </row>
    <row r="9" spans="2:22" x14ac:dyDescent="0.25">
      <c r="G9" t="s">
        <v>11</v>
      </c>
      <c r="L9">
        <f>1/52</f>
        <v>1.9230769230769232E-2</v>
      </c>
      <c r="P9" s="26" t="s">
        <v>44</v>
      </c>
      <c r="R9" s="26" t="s">
        <v>44</v>
      </c>
      <c r="S9" t="s">
        <v>66</v>
      </c>
    </row>
    <row r="10" spans="2:22" x14ac:dyDescent="0.25">
      <c r="G10" t="s">
        <v>12</v>
      </c>
    </row>
    <row r="11" spans="2:22" x14ac:dyDescent="0.25">
      <c r="G11" t="s">
        <v>13</v>
      </c>
    </row>
    <row r="12" spans="2:22" x14ac:dyDescent="0.25">
      <c r="G12" t="s">
        <v>14</v>
      </c>
      <c r="J12">
        <f>120/4.3*52</f>
        <v>1451.1627906976744</v>
      </c>
    </row>
    <row r="13" spans="2:22" x14ac:dyDescent="0.25">
      <c r="J13">
        <f>120*12</f>
        <v>1440</v>
      </c>
    </row>
    <row r="15" spans="2:22" x14ac:dyDescent="0.25">
      <c r="L15" s="131" t="s">
        <v>54</v>
      </c>
      <c r="M15" s="131"/>
      <c r="N15" s="131"/>
      <c r="O15" s="131"/>
      <c r="P15" s="131"/>
      <c r="Q15" s="131"/>
      <c r="R15" s="131"/>
      <c r="S15" s="131"/>
    </row>
    <row r="16" spans="2:22" x14ac:dyDescent="0.25">
      <c r="L16" s="26" t="s">
        <v>48</v>
      </c>
      <c r="M16" s="26" t="s">
        <v>56</v>
      </c>
      <c r="N16" s="26" t="s">
        <v>71</v>
      </c>
      <c r="O16" s="26" t="s">
        <v>57</v>
      </c>
      <c r="P16" s="26" t="s">
        <v>58</v>
      </c>
      <c r="Q16" s="26" t="s">
        <v>59</v>
      </c>
      <c r="R16" s="26" t="s">
        <v>44</v>
      </c>
      <c r="S16" s="28" t="s">
        <v>45</v>
      </c>
    </row>
    <row r="17" spans="10:20" x14ac:dyDescent="0.25">
      <c r="J17" s="132" t="s">
        <v>55</v>
      </c>
      <c r="K17" s="26" t="s">
        <v>38</v>
      </c>
      <c r="L17" s="27">
        <v>1</v>
      </c>
      <c r="M17" s="27">
        <v>7</v>
      </c>
      <c r="N17" s="27">
        <v>28</v>
      </c>
      <c r="O17" s="27">
        <f>(365/12)</f>
        <v>30.416666666666668</v>
      </c>
      <c r="P17" s="27">
        <f>(365/4)</f>
        <v>91.25</v>
      </c>
      <c r="Q17" s="27">
        <f>365/2</f>
        <v>182.5</v>
      </c>
      <c r="R17" s="27">
        <v>365</v>
      </c>
      <c r="S17" s="27"/>
      <c r="T17">
        <v>365</v>
      </c>
    </row>
    <row r="18" spans="10:20" x14ac:dyDescent="0.25">
      <c r="J18" s="132"/>
      <c r="K18" s="26" t="s">
        <v>39</v>
      </c>
      <c r="L18" s="27">
        <v>7</v>
      </c>
      <c r="M18" s="27">
        <v>1</v>
      </c>
      <c r="N18" s="27">
        <v>4</v>
      </c>
      <c r="O18" s="27">
        <f>(365/12/7)</f>
        <v>4.3452380952380958</v>
      </c>
      <c r="P18" s="27">
        <f>365/7/4</f>
        <v>13.035714285714286</v>
      </c>
      <c r="Q18" s="27">
        <f>365/7/2</f>
        <v>26.071428571428573</v>
      </c>
      <c r="R18" s="27">
        <f>365/7</f>
        <v>52.142857142857146</v>
      </c>
      <c r="S18" s="27"/>
      <c r="T18">
        <v>52</v>
      </c>
    </row>
    <row r="19" spans="10:20" x14ac:dyDescent="0.25">
      <c r="J19" s="132"/>
      <c r="K19" s="26" t="s">
        <v>40</v>
      </c>
      <c r="L19" s="27">
        <v>28</v>
      </c>
      <c r="M19" s="27">
        <v>0.25</v>
      </c>
      <c r="N19" s="27">
        <v>1</v>
      </c>
      <c r="O19" s="27">
        <f>(365/12/7)/4</f>
        <v>1.0863095238095239</v>
      </c>
      <c r="P19" s="27">
        <f>P18/4</f>
        <v>3.2589285714285716</v>
      </c>
      <c r="Q19" s="27">
        <f>Q18/4</f>
        <v>6.5178571428571432</v>
      </c>
      <c r="R19" s="27">
        <f>R18/4</f>
        <v>13.035714285714286</v>
      </c>
      <c r="S19" s="27"/>
      <c r="T19" s="38">
        <f>52/4</f>
        <v>13</v>
      </c>
    </row>
    <row r="20" spans="10:20" x14ac:dyDescent="0.25">
      <c r="J20" s="132"/>
      <c r="K20" s="26" t="s">
        <v>41</v>
      </c>
      <c r="L20" s="27">
        <v>31</v>
      </c>
      <c r="M20" s="27">
        <f>1/(365/12/7)</f>
        <v>0.23013698630136983</v>
      </c>
      <c r="N20" s="27">
        <f>(365/12/7)/4</f>
        <v>1.0863095238095239</v>
      </c>
      <c r="O20" s="27">
        <v>1</v>
      </c>
      <c r="P20" s="27">
        <v>3</v>
      </c>
      <c r="Q20" s="27">
        <v>6</v>
      </c>
      <c r="R20" s="27">
        <v>12</v>
      </c>
      <c r="S20" s="27"/>
      <c r="T20" s="39">
        <v>12</v>
      </c>
    </row>
    <row r="21" spans="10:20" x14ac:dyDescent="0.25">
      <c r="J21" s="132"/>
      <c r="K21" s="26" t="s">
        <v>42</v>
      </c>
      <c r="L21" s="27">
        <f>365/4</f>
        <v>91.25</v>
      </c>
      <c r="M21" s="27">
        <f>1/(52/4)</f>
        <v>7.6923076923076927E-2</v>
      </c>
      <c r="N21" s="27">
        <f>3*N20</f>
        <v>3.2589285714285721</v>
      </c>
      <c r="O21" s="27">
        <f>1/3</f>
        <v>0.33333333333333331</v>
      </c>
      <c r="P21" s="27">
        <v>1</v>
      </c>
      <c r="Q21" s="27">
        <v>2</v>
      </c>
      <c r="R21" s="27">
        <v>4</v>
      </c>
      <c r="S21" s="27"/>
      <c r="T21" s="39">
        <v>4</v>
      </c>
    </row>
    <row r="22" spans="10:20" x14ac:dyDescent="0.25">
      <c r="J22" s="132"/>
      <c r="K22" s="26" t="s">
        <v>43</v>
      </c>
      <c r="L22" s="27">
        <f>365/2</f>
        <v>182.5</v>
      </c>
      <c r="M22" s="27">
        <f>1/(52/2)</f>
        <v>3.8461538461538464E-2</v>
      </c>
      <c r="N22" s="27">
        <f>6*N20</f>
        <v>6.5178571428571441</v>
      </c>
      <c r="O22" s="27">
        <f>1/6</f>
        <v>0.16666666666666666</v>
      </c>
      <c r="P22" s="27">
        <f>1/2</f>
        <v>0.5</v>
      </c>
      <c r="Q22" s="27">
        <v>1</v>
      </c>
      <c r="R22" s="27">
        <v>2</v>
      </c>
      <c r="S22" s="27"/>
      <c r="T22">
        <v>2</v>
      </c>
    </row>
    <row r="23" spans="10:20" x14ac:dyDescent="0.25">
      <c r="J23" s="132"/>
      <c r="K23" s="26" t="s">
        <v>44</v>
      </c>
      <c r="L23" s="27">
        <v>365</v>
      </c>
      <c r="M23" s="27">
        <f>1/52</f>
        <v>1.9230769230769232E-2</v>
      </c>
      <c r="N23" s="27">
        <f>12*N20</f>
        <v>13.035714285714288</v>
      </c>
      <c r="O23" s="27">
        <f>1/12</f>
        <v>8.3333333333333329E-2</v>
      </c>
      <c r="P23" s="27">
        <f>1/4</f>
        <v>0.25</v>
      </c>
      <c r="Q23" s="27">
        <f>1/2</f>
        <v>0.5</v>
      </c>
      <c r="R23" s="27">
        <v>1</v>
      </c>
      <c r="S23" s="27"/>
      <c r="T23">
        <v>1</v>
      </c>
    </row>
    <row r="24" spans="10:20" x14ac:dyDescent="0.25">
      <c r="J24" s="132"/>
      <c r="K24" s="26" t="s">
        <v>228</v>
      </c>
      <c r="L24" s="27">
        <v>1</v>
      </c>
      <c r="M24" s="27">
        <v>1</v>
      </c>
      <c r="N24" s="27">
        <v>1</v>
      </c>
      <c r="O24" s="27">
        <v>1</v>
      </c>
      <c r="P24" s="27">
        <v>1</v>
      </c>
      <c r="Q24" s="27">
        <v>1</v>
      </c>
      <c r="R24" s="27">
        <v>1</v>
      </c>
      <c r="S24" s="27">
        <v>1</v>
      </c>
    </row>
  </sheetData>
  <sheetProtection formatColumns="0" formatRows="0"/>
  <mergeCells count="2">
    <mergeCell ref="L15:S15"/>
    <mergeCell ref="J17:J24"/>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C51E8-12AE-4BC6-B275-0E70E2AC09A6}">
  <dimension ref="B2:I11"/>
  <sheetViews>
    <sheetView workbookViewId="0">
      <selection activeCell="D35" sqref="D35"/>
    </sheetView>
  </sheetViews>
  <sheetFormatPr defaultRowHeight="15" x14ac:dyDescent="0.25"/>
  <cols>
    <col min="2" max="7" width="24.7109375" customWidth="1"/>
  </cols>
  <sheetData>
    <row r="2" spans="2:9" ht="30" x14ac:dyDescent="0.25">
      <c r="B2" s="63" t="s">
        <v>200</v>
      </c>
      <c r="C2" s="98" t="s">
        <v>169</v>
      </c>
      <c r="D2" s="99" t="s">
        <v>170</v>
      </c>
      <c r="E2" s="99" t="s">
        <v>171</v>
      </c>
      <c r="F2" s="99" t="s">
        <v>172</v>
      </c>
      <c r="G2" s="99" t="s">
        <v>173</v>
      </c>
    </row>
    <row r="3" spans="2:9" x14ac:dyDescent="0.25">
      <c r="B3" s="95" t="s">
        <v>201</v>
      </c>
      <c r="C3" s="96">
        <v>64.800000000000011</v>
      </c>
      <c r="D3" s="96">
        <v>69.599999999999994</v>
      </c>
      <c r="E3" s="96">
        <v>69.599999999999994</v>
      </c>
      <c r="F3" s="96">
        <v>69.599999999999994</v>
      </c>
      <c r="G3" s="96">
        <v>69.599999999999994</v>
      </c>
    </row>
    <row r="4" spans="2:9" x14ac:dyDescent="0.25">
      <c r="B4" s="95" t="s">
        <v>202</v>
      </c>
      <c r="C4" s="96">
        <v>72.599999999999994</v>
      </c>
      <c r="D4" s="96">
        <v>82.8</v>
      </c>
      <c r="E4" s="96">
        <v>87.6</v>
      </c>
      <c r="F4" s="96">
        <v>94.2</v>
      </c>
      <c r="G4" s="96">
        <v>105.6</v>
      </c>
    </row>
    <row r="5" spans="2:9" x14ac:dyDescent="0.25">
      <c r="B5" s="95" t="s">
        <v>203</v>
      </c>
      <c r="C5" s="96">
        <v>87.6</v>
      </c>
      <c r="D5" s="96">
        <v>93</v>
      </c>
      <c r="E5" s="96">
        <v>97.8</v>
      </c>
      <c r="F5" s="96">
        <v>104.4</v>
      </c>
      <c r="G5" s="96">
        <v>115.8</v>
      </c>
    </row>
    <row r="6" spans="2:9" x14ac:dyDescent="0.25">
      <c r="B6" s="95" t="s">
        <v>204</v>
      </c>
      <c r="C6" s="96">
        <v>97.2</v>
      </c>
      <c r="D6" s="96">
        <v>103.2</v>
      </c>
      <c r="E6" s="96">
        <v>108</v>
      </c>
      <c r="F6" s="96">
        <v>114</v>
      </c>
      <c r="G6" s="96">
        <v>125.39999999999999</v>
      </c>
    </row>
    <row r="7" spans="2:9" x14ac:dyDescent="0.25">
      <c r="B7" s="95" t="s">
        <v>205</v>
      </c>
      <c r="C7" s="96">
        <v>112.2</v>
      </c>
      <c r="D7" s="96">
        <v>117.6</v>
      </c>
      <c r="E7" s="96">
        <v>122.4</v>
      </c>
      <c r="F7" s="96">
        <v>129</v>
      </c>
      <c r="G7" s="96">
        <v>141</v>
      </c>
    </row>
    <row r="8" spans="2:9" x14ac:dyDescent="0.25">
      <c r="B8" s="95" t="s">
        <v>206</v>
      </c>
      <c r="C8" s="96">
        <v>133.20000000000002</v>
      </c>
      <c r="D8" s="96">
        <v>139.19999999999999</v>
      </c>
      <c r="E8" s="96">
        <v>144</v>
      </c>
      <c r="F8" s="96">
        <v>150.6</v>
      </c>
      <c r="G8" s="96">
        <v>162.6</v>
      </c>
    </row>
    <row r="9" spans="2:9" x14ac:dyDescent="0.25">
      <c r="B9" s="95" t="s">
        <v>207</v>
      </c>
      <c r="C9" s="96">
        <v>186</v>
      </c>
      <c r="D9" s="96">
        <v>192</v>
      </c>
      <c r="E9" s="96">
        <v>196.79999999999998</v>
      </c>
      <c r="F9" s="96">
        <v>203.4</v>
      </c>
      <c r="G9" s="96">
        <v>216</v>
      </c>
    </row>
    <row r="10" spans="2:9" x14ac:dyDescent="0.25">
      <c r="B10" s="100" t="s">
        <v>217</v>
      </c>
      <c r="C10" s="100">
        <v>85</v>
      </c>
      <c r="D10" s="100">
        <v>90</v>
      </c>
      <c r="E10" s="100">
        <v>95</v>
      </c>
      <c r="F10" s="100">
        <v>120</v>
      </c>
      <c r="G10" s="100">
        <v>130</v>
      </c>
      <c r="I10" t="s">
        <v>215</v>
      </c>
    </row>
    <row r="11" spans="2:9" ht="45" x14ac:dyDescent="0.25">
      <c r="B11" s="97" t="s">
        <v>214</v>
      </c>
      <c r="C11" s="97">
        <v>84.392569786957992</v>
      </c>
      <c r="D11" s="97">
        <v>92.12082129464558</v>
      </c>
      <c r="E11" s="97">
        <v>95.280326264656424</v>
      </c>
      <c r="F11" s="97">
        <v>120.88157844080845</v>
      </c>
      <c r="G11" s="97">
        <v>131.20097323600973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BAB378C0735746AF63EB6F528523A9" ma:contentTypeVersion="16" ma:contentTypeDescription="Een nieuw document maken." ma:contentTypeScope="" ma:versionID="807c029ab9720b30ffe400ec5088c367">
  <xsd:schema xmlns:xsd="http://www.w3.org/2001/XMLSchema" xmlns:xs="http://www.w3.org/2001/XMLSchema" xmlns:p="http://schemas.microsoft.com/office/2006/metadata/properties" xmlns:ns2="72831109-93e2-45f4-9ef2-f68b578c7fc0" xmlns:ns3="93ccd8f4-8b3b-401f-9181-a7e3484732b7" targetNamespace="http://schemas.microsoft.com/office/2006/metadata/properties" ma:root="true" ma:fieldsID="2dcce49b5ec193bab2b780d6bfb7895a" ns2:_="" ns3:_="">
    <xsd:import namespace="72831109-93e2-45f4-9ef2-f68b578c7fc0"/>
    <xsd:import namespace="93ccd8f4-8b3b-401f-9181-a7e3484732b7"/>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831109-93e2-45f4-9ef2-f68b578c7f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b4ade715-ca9d-4ad3-8308-0170b3290e0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ccd8f4-8b3b-401f-9181-a7e3484732b7"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f5719a35-a0cc-4b04-96c1-5f57b40ad792}" ma:internalName="TaxCatchAll" ma:showField="CatchAllData" ma:web="93ccd8f4-8b3b-401f-9181-a7e3484732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2831109-93e2-45f4-9ef2-f68b578c7fc0">
      <Terms xmlns="http://schemas.microsoft.com/office/infopath/2007/PartnerControls"/>
    </lcf76f155ced4ddcb4097134ff3c332f>
    <TaxCatchAll xmlns="93ccd8f4-8b3b-401f-9181-a7e3484732b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2C6A70-C8DD-498A-B967-F183F10BBC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831109-93e2-45f4-9ef2-f68b578c7fc0"/>
    <ds:schemaRef ds:uri="93ccd8f4-8b3b-401f-9181-a7e3484732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2883DB-E445-49F5-8D78-2115B3498D6E}">
  <ds:schemaRefs>
    <ds:schemaRef ds:uri="http://schemas.microsoft.com/office/2006/metadata/properties"/>
    <ds:schemaRef ds:uri="http://schemas.microsoft.com/office/infopath/2007/PartnerControls"/>
    <ds:schemaRef ds:uri="c12d84f1-d0d5-41ed-88c6-22c43b5cadae"/>
    <ds:schemaRef ds:uri="266f618a-9115-45d6-a13a-cfc44a6f9a91"/>
    <ds:schemaRef ds:uri="72831109-93e2-45f4-9ef2-f68b578c7fc0"/>
    <ds:schemaRef ds:uri="93ccd8f4-8b3b-401f-9181-a7e3484732b7"/>
  </ds:schemaRefs>
</ds:datastoreItem>
</file>

<file path=customXml/itemProps3.xml><?xml version="1.0" encoding="utf-8"?>
<ds:datastoreItem xmlns:ds="http://schemas.openxmlformats.org/officeDocument/2006/customXml" ds:itemID="{910C3AE4-6EAC-4E62-8A65-E3E85BE78C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7</vt:i4>
      </vt:variant>
      <vt:variant>
        <vt:lpstr>Benoemde bereiken</vt:lpstr>
      </vt:variant>
      <vt:variant>
        <vt:i4>13</vt:i4>
      </vt:variant>
    </vt:vector>
  </HeadingPairs>
  <TitlesOfParts>
    <vt:vector size="20" baseType="lpstr">
      <vt:lpstr>Versiebeheer</vt:lpstr>
      <vt:lpstr>Invulinstructie</vt:lpstr>
      <vt:lpstr>Rekenhulp ambulant budget</vt:lpstr>
      <vt:lpstr>Blad1</vt:lpstr>
      <vt:lpstr>Testbevindingen</vt:lpstr>
      <vt:lpstr>Lijsten</vt:lpstr>
      <vt:lpstr>Rekentarief</vt:lpstr>
      <vt:lpstr>'Rekenhulp ambulant budget'!Afdrukbereik</vt:lpstr>
      <vt:lpstr>dag</vt:lpstr>
      <vt:lpstr>duurzaam</vt:lpstr>
      <vt:lpstr>DuurzaamJa</vt:lpstr>
      <vt:lpstr>eenheid</vt:lpstr>
      <vt:lpstr>herstel</vt:lpstr>
      <vt:lpstr>Herstelja</vt:lpstr>
      <vt:lpstr>Perceel</vt:lpstr>
      <vt:lpstr>rekentarief</vt:lpstr>
      <vt:lpstr>tijd</vt:lpstr>
      <vt:lpstr>vannaar</vt:lpstr>
      <vt:lpstr>vannaar1</vt:lpstr>
      <vt:lpstr>vannaara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Bijleveld Advies</dc:creator>
  <cp:keywords/>
  <dc:description/>
  <cp:lastModifiedBy>Gosse Lezwijn</cp:lastModifiedBy>
  <cp:revision/>
  <cp:lastPrinted>2022-12-13T17:00:34Z</cp:lastPrinted>
  <dcterms:created xsi:type="dcterms:W3CDTF">2022-04-08T08:09:13Z</dcterms:created>
  <dcterms:modified xsi:type="dcterms:W3CDTF">2023-01-11T12:49:04Z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0x010100F1BAB378C0735746AF63EB6F528523A9</vt:lpwstr>
  </property>
  <property fmtid="{D5CDD505-2E9C-101B-9397-08002B2CF9AE}" pid="3" name="MediaServiceImageTags">
    <vt:lpwstr/>
  </property>
</Properties>
</file>