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66925"/>
  <mc:AlternateContent xmlns:mc="http://schemas.openxmlformats.org/markup-compatibility/2006">
    <mc:Choice Requires="x15">
      <x15ac:absPath xmlns:x15ac="http://schemas.microsoft.com/office/spreadsheetml/2010/11/ac" url="https://vrijsselland.sharepoint.com/sites/GGD-Functioneel-Beheer-en-Security-Officers-Overleg/Shared Documents/General/RSJ Data ZZ Functioneel beheer/- CONTRACTVERL-2026/Aanpassingen in ICM zelf (kopie hier)/2026 Rekenhulp/WW/"/>
    </mc:Choice>
  </mc:AlternateContent>
  <xr:revisionPtr revIDLastSave="480" documentId="8_{E185FDF4-5DE2-4CA2-83AE-2056C321ED63}" xr6:coauthVersionLast="47" xr6:coauthVersionMax="47" xr10:uidLastSave="{CF422ABE-D166-480D-9BA0-86666E028F95}"/>
  <workbookProtection workbookAlgorithmName="SHA-512" workbookHashValue="Qibh7nY4HYbRGcjTDWp963SYOP/pJbeFPKZ0YaC2C0aJV/KO3dDexcPbUqfuRLNB+Vr4OJICddqY9fwdRF/4Ow==" workbookSaltValue="JC/hlAXOHumKgHmZ1dNwYg==" workbookSpinCount="100000" lockStructure="1"/>
  <bookViews>
    <workbookView xWindow="-25710" yWindow="-110" windowWidth="25820" windowHeight="13900" tabRatio="780" activeTab="2"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IJsselland'!$A$3:$L$3</definedName>
    <definedName name="_xlnm._FilterDatabase" localSheetId="6" hidden="1">Beroepentabel!$A$6:$C$6</definedName>
    <definedName name="_xlnm._FilterDatabase" localSheetId="7" hidden="1">Testbevindingen!$A$2:$I$105</definedName>
    <definedName name="_Toc101773169" localSheetId="6">Beroepentabel!$A$3</definedName>
    <definedName name="_xlnm.Print_Area" localSheetId="2">'Rekenhulp ambulant budget'!$A$1:$K$40</definedName>
    <definedName name="dag">Lijsten!$H$3:$H$4</definedName>
    <definedName name="DuurToewijzing">Lijsten!$M$16:$R$16</definedName>
    <definedName name="duurzaam">Lijsten!$E$3:$E$8</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 l="1"/>
  <c r="B6" i="2"/>
  <c r="B5" i="2"/>
  <c r="B4" i="2"/>
  <c r="B3" i="2"/>
  <c r="D2" i="13"/>
  <c r="L32" i="2" l="1"/>
  <c r="I32" i="2"/>
  <c r="L4" i="17" l="1"/>
  <c r="K4" i="17"/>
  <c r="J4" i="17"/>
  <c r="I4" i="17"/>
  <c r="H4" i="17"/>
  <c r="G4" i="17"/>
  <c r="F4" i="17"/>
  <c r="E4" i="17"/>
  <c r="D4" i="17"/>
  <c r="C4" i="17"/>
  <c r="K15" i="13"/>
  <c r="K19" i="13"/>
  <c r="D22" i="13"/>
  <c r="A4" i="17"/>
  <c r="E14" i="13" l="1"/>
  <c r="F13" i="14"/>
  <c r="E13" i="14"/>
  <c r="D13" i="14"/>
  <c r="B13" i="14"/>
  <c r="C13" i="14"/>
  <c r="F39" i="2" l="1"/>
  <c r="B5" i="14" s="1"/>
  <c r="G28" i="2" s="1"/>
  <c r="F40" i="2"/>
  <c r="B6" i="14" s="1"/>
  <c r="H28" i="2" s="1"/>
  <c r="F41" i="2"/>
  <c r="B7" i="14" s="1"/>
  <c r="I28" i="2" s="1"/>
  <c r="F42" i="2"/>
  <c r="B8" i="14" s="1"/>
  <c r="J28" i="2" s="1"/>
  <c r="F43" i="2"/>
  <c r="B9" i="14" s="1"/>
  <c r="K28" i="2" s="1"/>
  <c r="F44" i="2"/>
  <c r="B10" i="14" s="1"/>
  <c r="L28" i="2" s="1"/>
  <c r="F45" i="2"/>
  <c r="C4" i="14" s="1"/>
  <c r="F29" i="2" s="1"/>
  <c r="F46" i="2"/>
  <c r="C5" i="14" s="1"/>
  <c r="G29" i="2" s="1"/>
  <c r="F47" i="2"/>
  <c r="C6" i="14" s="1"/>
  <c r="H29" i="2" s="1"/>
  <c r="F48" i="2"/>
  <c r="C7" i="14" s="1"/>
  <c r="I29" i="2" s="1"/>
  <c r="F49" i="2"/>
  <c r="C8" i="14" s="1"/>
  <c r="J29" i="2" s="1"/>
  <c r="F50" i="2"/>
  <c r="C9" i="14" s="1"/>
  <c r="K29" i="2" s="1"/>
  <c r="F51" i="2"/>
  <c r="C10" i="14" s="1"/>
  <c r="L29" i="2" s="1"/>
  <c r="F52" i="2"/>
  <c r="D4" i="14" s="1"/>
  <c r="F30" i="2" s="1"/>
  <c r="F53" i="2"/>
  <c r="D5" i="14" s="1"/>
  <c r="G30" i="2" s="1"/>
  <c r="F54" i="2"/>
  <c r="D6" i="14" s="1"/>
  <c r="H30" i="2" s="1"/>
  <c r="F55" i="2"/>
  <c r="D7" i="14" s="1"/>
  <c r="I30" i="2" s="1"/>
  <c r="F56" i="2"/>
  <c r="D8" i="14" s="1"/>
  <c r="J30" i="2" s="1"/>
  <c r="F57" i="2"/>
  <c r="D9" i="14" s="1"/>
  <c r="K30" i="2" s="1"/>
  <c r="F58" i="2"/>
  <c r="D10" i="14" s="1"/>
  <c r="L30" i="2" s="1"/>
  <c r="F59" i="2"/>
  <c r="E4" i="14" s="1"/>
  <c r="F31" i="2" s="1"/>
  <c r="F60" i="2"/>
  <c r="E5" i="14" s="1"/>
  <c r="G31" i="2" s="1"/>
  <c r="F61" i="2"/>
  <c r="E6" i="14" s="1"/>
  <c r="H31" i="2" s="1"/>
  <c r="F62" i="2"/>
  <c r="E7" i="14" s="1"/>
  <c r="I31" i="2" s="1"/>
  <c r="F63" i="2"/>
  <c r="E8" i="14" s="1"/>
  <c r="J31" i="2" s="1"/>
  <c r="F64" i="2"/>
  <c r="E9" i="14" s="1"/>
  <c r="K31" i="2" s="1"/>
  <c r="F65" i="2"/>
  <c r="E10" i="14" s="1"/>
  <c r="L31" i="2" s="1"/>
  <c r="F66" i="2"/>
  <c r="F4" i="14" s="1"/>
  <c r="F32" i="2" s="1"/>
  <c r="F67" i="2"/>
  <c r="F5" i="14" s="1"/>
  <c r="G32" i="2" s="1"/>
  <c r="F68" i="2"/>
  <c r="F6" i="14" s="1"/>
  <c r="H32" i="2" s="1"/>
  <c r="F69" i="2"/>
  <c r="F7" i="14" s="1"/>
  <c r="F70" i="2"/>
  <c r="F8" i="14" s="1"/>
  <c r="J32" i="2" s="1"/>
  <c r="F71" i="2"/>
  <c r="F9" i="14" s="1"/>
  <c r="K32" i="2" s="1"/>
  <c r="F72" i="2"/>
  <c r="F10" i="14" s="1"/>
  <c r="F38" i="2"/>
  <c r="B4" i="14" s="1"/>
  <c r="F28" i="2" s="1"/>
  <c r="E28" i="2" s="1"/>
  <c r="B28" i="2" s="1"/>
  <c r="E32" i="2" l="1"/>
  <c r="B32" i="2" s="1"/>
  <c r="E31" i="2"/>
  <c r="B31" i="2" s="1"/>
  <c r="E30" i="2"/>
  <c r="B30" i="2" s="1"/>
  <c r="E29" i="2"/>
  <c r="B29" i="2" s="1"/>
  <c r="C3" i="2"/>
  <c r="C4" i="2"/>
  <c r="C5" i="2"/>
  <c r="C6" i="2"/>
  <c r="C7" i="2"/>
  <c r="H8" i="13"/>
  <c r="K11" i="13" l="1"/>
  <c r="K13" i="13" s="1"/>
  <c r="H12" i="13"/>
  <c r="H10" i="13"/>
  <c r="K16" i="13" l="1"/>
  <c r="V3" i="2" s="1"/>
  <c r="D27" i="13"/>
  <c r="E28" i="13" s="1"/>
  <c r="H9" i="13"/>
  <c r="D35" i="13"/>
  <c r="H24" i="13"/>
  <c r="H19" i="13"/>
  <c r="K18" i="13"/>
  <c r="H18" i="13"/>
  <c r="K17" i="13"/>
  <c r="H17" i="13"/>
  <c r="K14" i="13"/>
  <c r="C17" i="13"/>
  <c r="K12" i="13"/>
  <c r="H11" i="13"/>
  <c r="K10" i="13"/>
  <c r="E6"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8" i="4"/>
  <c r="A7" i="4"/>
  <c r="K20" i="13" l="1"/>
  <c r="K21" i="13"/>
  <c r="T19" i="2"/>
  <c r="R18" i="2"/>
  <c r="R19" i="2" s="1"/>
  <c r="Q23" i="2"/>
  <c r="Q18" i="2"/>
  <c r="Q19" i="2" s="1"/>
  <c r="Q17" i="2"/>
  <c r="P23" i="2"/>
  <c r="P22" i="2"/>
  <c r="P18" i="2"/>
  <c r="P19" i="2" s="1"/>
  <c r="P17" i="2"/>
  <c r="O23" i="2"/>
  <c r="O22" i="2"/>
  <c r="O21" i="2"/>
  <c r="O19" i="2"/>
  <c r="O18" i="2"/>
  <c r="O17" i="2"/>
  <c r="N20" i="2"/>
  <c r="N23" i="2" s="1"/>
  <c r="L22" i="2"/>
  <c r="L21" i="2"/>
  <c r="M23" i="2"/>
  <c r="M22" i="2"/>
  <c r="M21" i="2"/>
  <c r="M20" i="2"/>
  <c r="K22" i="13" l="1"/>
  <c r="V4" i="2"/>
  <c r="N21" i="2"/>
  <c r="N22" i="2"/>
  <c r="J13" i="2"/>
  <c r="L9" i="2"/>
  <c r="L7" i="2"/>
  <c r="L8" i="2"/>
  <c r="V5" i="2" l="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<sst xmlns="http://schemas.openxmlformats.org/spreadsheetml/2006/main" count="936" uniqueCount="621">
  <si>
    <t>Versiebeheer</t>
  </si>
  <si>
    <t>Rekenhulp ambulant budget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</si>
  <si>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</si>
  <si>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</si>
  <si>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</si>
  <si>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</si>
  <si>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</si>
  <si>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</si>
  <si>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</si>
  <si>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</si>
  <si>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</si>
  <si>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</si>
  <si>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</si>
  <si>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</si>
  <si>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</si>
  <si>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</si>
  <si>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</si>
  <si>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</si>
  <si>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</si>
  <si>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</si>
  <si>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</si>
  <si>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</si>
  <si>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Tarieven op tabblad Tarievenoverzicht aangepast na index 2024</t>
  </si>
  <si>
    <t>Aangepast in versie 1.6 ten opzichte van versie 1.5</t>
  </si>
  <si>
    <t>Tekstuele wijzigingen voor omzetting van 2023 naar 2024.</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</si>
  <si>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</si>
  <si>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</si>
  <si>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</si>
  <si>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</si>
  <si>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</si>
  <si>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</si>
  <si>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</si>
  <si>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</si>
  <si>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</si>
  <si>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</si>
  <si>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</si>
  <si>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</si>
  <si>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</si>
  <si>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</si>
  <si>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</si>
  <si>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</si>
  <si>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</si>
  <si>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</si>
  <si>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</si>
  <si>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</si>
  <si>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</si>
  <si>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</si>
  <si>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</si>
  <si>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</si>
  <si>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</si>
  <si>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</si>
  <si>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</si>
  <si>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</si>
  <si>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</si>
  <si>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Inschatting benodigde duur.</t>
  </si>
  <si>
    <t>Intensiteit groepsaanbod (dropdown)</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</si>
  <si>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</si>
  <si>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</si>
  <si>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</si>
  <si>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</si>
  <si>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</si>
  <si>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</si>
  <si>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</si>
  <si>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</si>
  <si>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</si>
  <si>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</si>
  <si>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</si>
  <si>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Aandeel tariefgroep 1 t/m 7</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</si>
  <si>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</si>
  <si>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</si>
  <si>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</si>
  <si>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</si>
  <si>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</si>
  <si>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</si>
  <si>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</si>
  <si>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</si>
  <si>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t>eenheden</t>
  </si>
  <si>
    <t>Ambulant groepsaanbod</t>
  </si>
  <si>
    <t>Uren groepsaanbod hele beschikking</t>
  </si>
  <si>
    <t>week</t>
  </si>
  <si>
    <t>Intensiteit groepsaanbod</t>
  </si>
  <si>
    <t>uur per dag</t>
  </si>
  <si>
    <t>Uurtarief groepsaanbod</t>
  </si>
  <si>
    <t>Duur toewijzing groepsaanbod</t>
  </si>
  <si>
    <t>weken</t>
  </si>
  <si>
    <t>50411 Groepsaanbod licht</t>
  </si>
  <si>
    <t>Ambulant individueel</t>
  </si>
  <si>
    <t>uren per</t>
  </si>
  <si>
    <t>Duur toewijzing ambulant</t>
  </si>
  <si>
    <t>maanden</t>
  </si>
  <si>
    <t>Uurtarief ambulante jeugdhulp</t>
  </si>
  <si>
    <t>2. Systeemaanbieder (SA)</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</si>
  <si>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</si>
  <si>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</si>
  <si>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</si>
  <si>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</si>
  <si>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</si>
  <si>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</si>
  <si>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</si>
  <si>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</si>
  <si>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</si>
  <si>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</si>
  <si>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</si>
  <si>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</si>
  <si>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</si>
  <si>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</si>
  <si>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</si>
  <si>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</si>
  <si>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</si>
  <si>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</si>
  <si>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</si>
  <si>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</si>
  <si>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</si>
  <si>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</si>
  <si>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</si>
  <si>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1. Specialistische jeugdhulpaanbieder (SJA)</t>
  </si>
  <si>
    <t>Aanbieder</t>
  </si>
  <si>
    <t>Naam contractmanager</t>
  </si>
  <si>
    <t>Accare</t>
  </si>
  <si>
    <t>Ambiq</t>
  </si>
  <si>
    <t>Autimaat</t>
  </si>
  <si>
    <t>Braams &amp; Partners</t>
  </si>
  <si>
    <t>Bureau Gezinszorg</t>
  </si>
  <si>
    <t>CasesToCare</t>
  </si>
  <si>
    <t>Centraal Nederland</t>
  </si>
  <si>
    <t>Cosis</t>
  </si>
  <si>
    <t>De Kameel</t>
  </si>
  <si>
    <t>DreamCloud</t>
  </si>
  <si>
    <t>Frion</t>
  </si>
  <si>
    <t>GelukkigHB</t>
  </si>
  <si>
    <t>HalteZ</t>
  </si>
  <si>
    <t>InKontakt</t>
  </si>
  <si>
    <t>Intraverte</t>
  </si>
  <si>
    <t>Jarabee</t>
  </si>
  <si>
    <t>JongVooruit</t>
  </si>
  <si>
    <t>JP van den Bent</t>
  </si>
  <si>
    <t>Kwaliteitsrijke Zorg</t>
  </si>
  <si>
    <t>Marie-Anne Bastianen</t>
  </si>
  <si>
    <t>Mentaal Beter Cure</t>
  </si>
  <si>
    <t>Pento</t>
  </si>
  <si>
    <t>Pluryn</t>
  </si>
  <si>
    <t>Plus Boerderij</t>
  </si>
  <si>
    <t>Reggedok</t>
  </si>
  <si>
    <t>RJ Mensenwerk</t>
  </si>
  <si>
    <t>Siriz</t>
  </si>
  <si>
    <t>Timon</t>
  </si>
  <si>
    <t>Trevin</t>
  </si>
  <si>
    <t>Yorneo</t>
  </si>
  <si>
    <t>ZorgTendens</t>
  </si>
  <si>
    <t>3. Aanbieder GGZ 1</t>
  </si>
  <si>
    <t>4. Aanbieder GGZ 2 met verblijf</t>
  </si>
  <si>
    <t>5. Aanbieder GGZ 3 met academische functie</t>
  </si>
  <si>
    <t>Tariefgroep 1</t>
  </si>
  <si>
    <t>Tariefgroep 2</t>
  </si>
  <si>
    <t>Tariefgroep 3</t>
  </si>
  <si>
    <t>Tariefgroep 4</t>
  </si>
  <si>
    <t>Tariefgroep 5</t>
  </si>
  <si>
    <t>Tariefgroep 6</t>
  </si>
  <si>
    <t>Tariefgroep 7</t>
  </si>
  <si>
    <t>Actiehouder</t>
  </si>
  <si>
    <t xml:space="preserve">Nr. </t>
  </si>
  <si>
    <t>Melder</t>
  </si>
  <si>
    <t xml:space="preserve">Cel </t>
  </si>
  <si>
    <t>Voorstel</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</si>
  <si>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</si>
  <si>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</si>
  <si>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</si>
  <si>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</si>
  <si>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</si>
  <si>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</si>
  <si>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</si>
  <si>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</si>
  <si>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</si>
  <si>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</si>
  <si>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</si>
  <si>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</si>
  <si>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</si>
  <si>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</si>
  <si>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</si>
  <si>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</si>
  <si>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</si>
  <si>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</si>
  <si>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</si>
  <si>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</si>
  <si>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</si>
  <si>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</si>
  <si>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</si>
  <si>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</si>
  <si>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</si>
  <si>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</si>
  <si>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</si>
  <si>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</si>
  <si>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</si>
  <si>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</si>
  <si>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</si>
  <si>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</si>
  <si>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</si>
  <si>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</si>
  <si>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</si>
  <si>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</si>
  <si>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</si>
  <si>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</si>
  <si>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</si>
  <si>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</si>
  <si>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</si>
  <si>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</si>
  <si>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</si>
  <si>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</si>
  <si>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</si>
  <si>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</si>
  <si>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</si>
  <si>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</si>
  <si>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</si>
  <si>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</si>
  <si>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</si>
  <si>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Nieuwe versie 2025</t>
  </si>
  <si>
    <t>Kevin</t>
  </si>
  <si>
    <t>Rob</t>
  </si>
  <si>
    <t>Beroepentabel toevoegen?</t>
  </si>
  <si>
    <t>Versie</t>
  </si>
  <si>
    <t>Automatisch uitzetten bij jaarovergang</t>
  </si>
  <si>
    <t>Nalopen lijst met openstaande wensen</t>
  </si>
  <si>
    <t>geldig tot</t>
  </si>
  <si>
    <t>rekentarief</t>
  </si>
  <si>
    <t>intensiteit</t>
  </si>
  <si>
    <t>dag</t>
  </si>
  <si>
    <t>tijd</t>
  </si>
  <si>
    <t>groep</t>
  </si>
  <si>
    <t>Duurzaamja</t>
  </si>
  <si>
    <t>Herstelja</t>
  </si>
  <si>
    <t>groepeen</t>
  </si>
  <si>
    <t>perceel</t>
  </si>
  <si>
    <t>Berekening Ambulant budget totaal K27</t>
  </si>
  <si>
    <t>Rekenhulp standaardbudget 1</t>
  </si>
  <si>
    <t>dagen</t>
  </si>
  <si>
    <t>minuten per</t>
  </si>
  <si>
    <t>jaar</t>
  </si>
  <si>
    <t>Perceel 1</t>
  </si>
  <si>
    <t>50412 Groepsaanbod middel</t>
  </si>
  <si>
    <t>Rekenhulp standaardbudget 2</t>
  </si>
  <si>
    <t>dagdelen</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</si>
  <si>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</si>
  <si>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</si>
  <si>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</si>
  <si>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</si>
  <si>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</si>
  <si>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</si>
  <si>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</si>
  <si>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</si>
  <si>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</si>
  <si>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</si>
  <si>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</si>
  <si>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</si>
  <si>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</si>
  <si>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</si>
  <si>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</si>
  <si>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</si>
  <si>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</si>
  <si>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</si>
  <si>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</si>
  <si>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</si>
  <si>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</si>
  <si>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</si>
  <si>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</si>
  <si>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</si>
  <si>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</si>
  <si>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</si>
  <si>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</si>
  <si>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</si>
  <si>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</si>
  <si>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</si>
  <si>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</si>
  <si>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WP</t>
  </si>
  <si>
    <t>Plaats op website heroverwegen</t>
  </si>
  <si>
    <t>1.7</t>
  </si>
  <si>
    <t>Wat (bevinding / specificatie)</t>
  </si>
  <si>
    <t>Aangepast in versie 1.7 ten opzichte van versie 1.6</t>
  </si>
  <si>
    <t>Onderscheid duurzaam en herstel verwijderd conform wijzigingsprocedure per 1 januari 2025</t>
  </si>
  <si>
    <t>Ad 12</t>
  </si>
  <si>
    <t>Duurzaam en herstel verwijderen</t>
  </si>
  <si>
    <t>Standaardbudget 10 en 25k toevoegen</t>
  </si>
  <si>
    <t>I32, I36</t>
  </si>
  <si>
    <t>Vraagnr. of Tabblad</t>
  </si>
  <si>
    <t xml:space="preserve">Versiebeheer </t>
  </si>
  <si>
    <t>K23</t>
  </si>
  <si>
    <t>niet uitvoeren</t>
  </si>
  <si>
    <t>Perceeltarief ambulant automatisch invullen na selectie van de aanbieder</t>
  </si>
  <si>
    <t>Aanbiederslijst</t>
  </si>
  <si>
    <t>14 t/m 20</t>
  </si>
  <si>
    <t xml:space="preserve">Vul hier de verwachte functiemix in door per tariefgroep een percentage in te vullen. Het totaal bij vraag 21 moet 100% zijn. Deze berekeningswijze is facultatief </t>
  </si>
  <si>
    <t>Toe te wijzen standaard ambulant budget</t>
  </si>
  <si>
    <t>Uitkomst rekenhulp ambulant budget totaal</t>
  </si>
  <si>
    <t>Bedrag groepsaanbod</t>
  </si>
  <si>
    <t>Bedrag individuele jeugdhulp</t>
  </si>
  <si>
    <t>Afwijkend uurtarief (Wordt berekend en gekopieerd naar vraag 12)</t>
  </si>
  <si>
    <t>Bij leegmaken 14 t/m 20 dan moet 12 weer leeg worden</t>
  </si>
  <si>
    <t>D23</t>
  </si>
  <si>
    <t>Tekst Herstel verwijderen uit titel resultaattabel</t>
  </si>
  <si>
    <t>HK8</t>
  </si>
  <si>
    <t>Tarieven per minuut omrekenen naar uurtarief en gemiddelde per perceel</t>
  </si>
  <si>
    <t>Tarieven 2025 per productcode aanleveren na indexatie</t>
  </si>
  <si>
    <t>Standaardbudget € 10.000 en € 25.000 toegevoegd</t>
  </si>
  <si>
    <t>Afwijkend uurtarief pas berekenen bij 100% en gewogen maken</t>
  </si>
  <si>
    <t>Totaal percentages tariefgroep 1 t/m 7 (moet 100% vormen)</t>
  </si>
  <si>
    <t>In tabblad Lijsten kolom F (vanaf 38) aanpassen naar nieuwe tarieven</t>
  </si>
  <si>
    <t>Alles op ROOD zetten wanneer 2025 verstreken is. (Ook in 2024-versie)</t>
  </si>
  <si>
    <t>Berkel-B</t>
  </si>
  <si>
    <t>ICARE</t>
  </si>
  <si>
    <t>Karakter</t>
  </si>
  <si>
    <t>Manege Voorst</t>
  </si>
  <si>
    <t>Opdidakt</t>
  </si>
  <si>
    <t>Pactum</t>
  </si>
  <si>
    <t>Zero &amp; Sano</t>
  </si>
  <si>
    <t>ZO!-zorgoplossingen</t>
  </si>
  <si>
    <t>ZoWijs</t>
  </si>
  <si>
    <t>Aantal</t>
  </si>
  <si>
    <t>Volgende versie?</t>
  </si>
  <si>
    <t>uur</t>
  </si>
  <si>
    <t>minuut</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</si>
  <si>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</si>
  <si>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*Vraag 11: gemiddeld uurtarief per tariefklasse</t>
  </si>
  <si>
    <t>Gemiddeld uurtarief**</t>
  </si>
  <si>
    <t>*Geïndexeerd met het gemiddelde indexpercentage 2025 per perceel</t>
  </si>
  <si>
    <t>**Afgerond op gehele bedragen voor de rekenhulp ambulant/</t>
  </si>
  <si>
    <t>Van tariefgroep naar gemiddelde</t>
  </si>
  <si>
    <t>Gemiddeld tarief op basis van de FTE-verdeling per perceel bij de inschrijving*</t>
  </si>
  <si>
    <t>Tarief 2025 per perceel en tariefgroep</t>
  </si>
  <si>
    <t>50415 Groepsaanbod extra zwaar</t>
  </si>
  <si>
    <t>Tarieven</t>
  </si>
  <si>
    <t>Nee</t>
  </si>
  <si>
    <t>Volgt vanuit communicatie</t>
  </si>
  <si>
    <t>Aanbieders specialistische Jeugdhulp regio IJsselland</t>
  </si>
  <si>
    <t>Groepsaanbod extra zwaar en intensief toegevoegd</t>
  </si>
  <si>
    <t>Tarieven verhoogd n.a.v. indexatie per 1 januari 2025</t>
  </si>
  <si>
    <t>50416 Groepsaanbod intensief</t>
  </si>
  <si>
    <t>In Lijsten vreemde Omschrijving in E38 t/m 72</t>
  </si>
  <si>
    <t>Wat is de functie van regel 28 t/m 32 in Lijsten?</t>
  </si>
  <si>
    <t xml:space="preserve">1.7 </t>
  </si>
  <si>
    <t>Update overzicht gecontracteerde aanbieders per 1 januari 2025</t>
  </si>
  <si>
    <t>Beroepentabel uit inkoopdocument toegevoegd</t>
  </si>
  <si>
    <t>Excelbeveiliging aangepast, zodat op 1 januari 2026 de ingevulde rekenhulpen zichtbaar blijven</t>
  </si>
  <si>
    <t>De Parabool</t>
  </si>
  <si>
    <t>Tariefgroep (TG) en indicatie opleidingsniveau</t>
  </si>
  <si>
    <t>Functiebenaming ambulant hulpverlener</t>
  </si>
  <si>
    <t>Maximale schaal</t>
  </si>
  <si>
    <t>TG1</t>
  </si>
  <si>
    <t>+- MBO</t>
  </si>
  <si>
    <t>(Persoonlijk) Begeleider gehandicaptenzorg</t>
  </si>
  <si>
    <t>FWG 35-40</t>
  </si>
  <si>
    <t>Schaal 6</t>
  </si>
  <si>
    <t>Ambulant medewerker</t>
  </si>
  <si>
    <t>Ervaringsdeskundige mbo</t>
  </si>
  <si>
    <t>Relevant mbo-diploma</t>
  </si>
  <si>
    <t>Zorgbegeleider</t>
  </si>
  <si>
    <t>Kraambegeleider</t>
  </si>
  <si>
    <t>Begeleider mbo</t>
  </si>
  <si>
    <t>Vervoersbegeleider</t>
  </si>
  <si>
    <t>Helpende</t>
  </si>
  <si>
    <t>TG2</t>
  </si>
  <si>
    <t>+- HBO</t>
  </si>
  <si>
    <t>(Persoonlijk) Ambulant begeleider</t>
  </si>
  <si>
    <t>FWG 40-45</t>
  </si>
  <si>
    <t>Schaal 7-8</t>
  </si>
  <si>
    <t>Ambulant hulpverlener of behandelaar</t>
  </si>
  <si>
    <t>Ervaringsdeskundige ggz HBO</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</si>
  <si>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</si>
  <si>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</si>
  <si>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</si>
  <si>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</si>
  <si>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</si>
  <si>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</si>
  <si>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</si>
  <si>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</si>
  <si>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</si>
  <si>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</si>
  <si>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</si>
  <si>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</si>
  <si>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</si>
  <si>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</si>
  <si>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</si>
  <si>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</si>
  <si>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</si>
  <si>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 HBO+</t>
  </si>
  <si>
    <t>Consultatief Psychiatrisch Verpleegkundige</t>
  </si>
  <si>
    <t>FWG 50-55</t>
  </si>
  <si>
    <t>Schaal 9-10</t>
  </si>
  <si>
    <t>Psychiatrisch verpleegkundige</t>
  </si>
  <si>
    <t>Senior (psychiatrisch) verpleegkundige</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</si>
  <si>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</si>
  <si>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</si>
  <si>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</si>
  <si>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</si>
  <si>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</si>
  <si>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</si>
  <si>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</si>
  <si>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</si>
  <si>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</si>
  <si>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</si>
  <si>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</si>
  <si>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</si>
  <si>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</si>
  <si>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</si>
  <si>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</si>
  <si>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</si>
  <si>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</si>
  <si>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</si>
  <si>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</si>
  <si>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</si>
  <si>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</si>
  <si>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</si>
  <si>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</si>
  <si>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</si>
  <si>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</si>
  <si>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</si>
  <si>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</si>
  <si>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</si>
  <si>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</si>
  <si>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</si>
  <si>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</si>
  <si>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</si>
  <si>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</si>
  <si>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</si>
  <si>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</si>
  <si>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</si>
  <si>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</si>
  <si>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</si>
  <si>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</si>
  <si>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</si>
  <si>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</si>
  <si>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</si>
  <si>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</si>
  <si>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</si>
  <si>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WO</t>
  </si>
  <si>
    <t xml:space="preserve">Gedragswetenschapper </t>
  </si>
  <si>
    <t>FWG 60</t>
  </si>
  <si>
    <t>Schaal 11</t>
  </si>
  <si>
    <t>Jeugdzorgwerker A (perceel 2)</t>
  </si>
  <si>
    <t>Gedragswetenschapper B</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</si>
  <si>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</si>
  <si>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</si>
  <si>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</si>
  <si>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</si>
  <si>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</si>
  <si>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</si>
  <si>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</si>
  <si>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</si>
  <si>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</si>
  <si>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</si>
  <si>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 WO+</t>
  </si>
  <si>
    <t>Arts (Agio/Agnio), basisarts</t>
  </si>
  <si>
    <t>FWG 65</t>
  </si>
  <si>
    <t>Schaal 12</t>
  </si>
  <si>
    <t>Arts GGD</t>
  </si>
  <si>
    <t>Arts maatschappij en gezondheid</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</si>
  <si>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</si>
  <si>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</si>
  <si>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</si>
  <si>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</si>
  <si>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</si>
  <si>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</si>
  <si>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</si>
  <si>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</si>
  <si>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</si>
  <si>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</si>
  <si>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 WO++</t>
  </si>
  <si>
    <t>Arts verslavingszorg</t>
  </si>
  <si>
    <t>FWG 70-75</t>
  </si>
  <si>
    <t>Arts verstandelijk gehandicapten</t>
  </si>
  <si>
    <t>Huisarts</t>
  </si>
  <si>
    <t>Klinisch neuropsycholoog</t>
  </si>
  <si>
    <t>Klinisch psycholoog</t>
  </si>
  <si>
    <t>Psychotherapeut</t>
  </si>
  <si>
    <t>Psychotherapeut/opleiding GZ-psycholoog</t>
  </si>
  <si>
    <t>TG7</t>
  </si>
  <si>
    <t>+- AMS</t>
  </si>
  <si>
    <t xml:space="preserve">(Kinder)Psychiater </t>
  </si>
  <si>
    <t>FWG 80</t>
  </si>
  <si>
    <t>AMS</t>
  </si>
  <si>
    <t>Kinderarts</t>
  </si>
  <si>
    <t xml:space="preserve">Medisch specialist </t>
  </si>
  <si>
    <t>Neuroloog</t>
  </si>
  <si>
    <t>Psychiater</t>
  </si>
  <si>
    <t>* De SPV-er staat in TG3 en TG4 omdat opdrachtnemers beide beloningen hanteren
** De tariefgroep is afhankelijk van het kwaliteitsregister van de beroepsvereniging voor relatie- en gezinstherapeuten (systeemtherapeuten) en systeemtherapeutisch werkers (NVRG)</t>
  </si>
  <si>
    <t xml:space="preserve">Bijlage XII - Voorzieningen Ambulante jeugdhulp </t>
  </si>
  <si>
    <t>Beroepentabel</t>
  </si>
  <si>
    <t xml:space="preserve">Tariefgroepen ambulant individueel; zie de functiegerichte bekostiging in 8.3.1 en de beroepentabel in 8.5.1 </t>
  </si>
  <si>
    <t>Maartje</t>
  </si>
  <si>
    <t>Tarief groepsaanbod Extra zwaar en Intensief wordt niet getoond</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</si>
  <si>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</si>
  <si>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AGNO</t>
  </si>
  <si>
    <t>Gebby Lewerissa</t>
  </si>
  <si>
    <t>AB Het Spectrum</t>
  </si>
  <si>
    <t>Nadine Veldink</t>
  </si>
  <si>
    <t>at.zorg</t>
  </si>
  <si>
    <t>Sander van der Vlis</t>
  </si>
  <si>
    <t>Behandelc. Zorgplein</t>
  </si>
  <si>
    <t>Alinda van de Werfhorst</t>
  </si>
  <si>
    <t>Sander van Leer</t>
  </si>
  <si>
    <t>Beter Thuis Wonen</t>
  </si>
  <si>
    <t>Bloezem</t>
  </si>
  <si>
    <t>Alexa Schasfoort</t>
  </si>
  <si>
    <t>Bosman GGz</t>
  </si>
  <si>
    <t>Brick-Hulpverlening</t>
  </si>
  <si>
    <t>Brigitte Derksen</t>
  </si>
  <si>
    <t>Bunait</t>
  </si>
  <si>
    <t>De Parel</t>
  </si>
  <si>
    <t>Cognito</t>
  </si>
  <si>
    <t>Boer en Zorg</t>
  </si>
  <si>
    <t>Cuidate</t>
  </si>
  <si>
    <t>Maargies Hoeve</t>
  </si>
  <si>
    <t>Ruijtershoeve</t>
  </si>
  <si>
    <t>Zorgzaak</t>
  </si>
  <si>
    <t>Mous</t>
  </si>
  <si>
    <t>ECLG</t>
  </si>
  <si>
    <t>Explora</t>
  </si>
  <si>
    <t>EYA</t>
  </si>
  <si>
    <t>FamilySupporters</t>
  </si>
  <si>
    <t>Grip op Gedrag</t>
  </si>
  <si>
    <t>Horizon beg.</t>
  </si>
  <si>
    <t>iQBegrijp</t>
  </si>
  <si>
    <t>KBC</t>
  </si>
  <si>
    <t>Lisette Hegge BT</t>
  </si>
  <si>
    <t>MentalScope</t>
  </si>
  <si>
    <t>Moeder&amp;Kind Wende</t>
  </si>
  <si>
    <t>MoleMann</t>
  </si>
  <si>
    <t>Nicoline Hoekstra</t>
  </si>
  <si>
    <t>Nieuw gezin</t>
  </si>
  <si>
    <t>NL-PSY</t>
  </si>
  <si>
    <t>Omega</t>
  </si>
  <si>
    <t>Cascade</t>
  </si>
  <si>
    <t>Papillon – De Maten</t>
  </si>
  <si>
    <t>Passie v. J &amp; G</t>
  </si>
  <si>
    <t>Perspektiev</t>
  </si>
  <si>
    <t>Asgard</t>
  </si>
  <si>
    <t>Carucci</t>
  </si>
  <si>
    <t>De Eik</t>
  </si>
  <si>
    <t>De Poel</t>
  </si>
  <si>
    <t>Philadelphia</t>
  </si>
  <si>
    <t>De Vaart</t>
  </si>
  <si>
    <t>Charoela</t>
  </si>
  <si>
    <t>Ebbers</t>
  </si>
  <si>
    <t>Van der Vinne</t>
  </si>
  <si>
    <t>BJ Brinkman</t>
  </si>
  <si>
    <t>Praktijk Dalfsen</t>
  </si>
  <si>
    <t>Puur</t>
  </si>
  <si>
    <t>Reg. Inst. Dysl. (RID)</t>
  </si>
  <si>
    <t>RIOzorg</t>
  </si>
  <si>
    <t>Saluda Zorg</t>
  </si>
  <si>
    <t>Saul</t>
  </si>
  <si>
    <t>Scauting</t>
  </si>
  <si>
    <t>Smeets</t>
  </si>
  <si>
    <t>Soarch Ynset</t>
  </si>
  <si>
    <t>Sterk v ouder &amp; kind</t>
  </si>
  <si>
    <t>s Heeren Loo</t>
  </si>
  <si>
    <t>Baalderborg</t>
  </si>
  <si>
    <t>Carinova</t>
  </si>
  <si>
    <t>Dimence</t>
  </si>
  <si>
    <t>Driestar</t>
  </si>
  <si>
    <t>Driestroom</t>
  </si>
  <si>
    <t>Eleos</t>
  </si>
  <si>
    <t>Empower</t>
  </si>
  <si>
    <t>Kinderth. Zeist</t>
  </si>
  <si>
    <t>LdH Overijssel</t>
  </si>
  <si>
    <t>Lelie Zorggroep</t>
  </si>
  <si>
    <t>IJsselgroep</t>
  </si>
  <si>
    <t>Tactus</t>
  </si>
  <si>
    <t>Therap. Centrum Flevoland</t>
  </si>
  <si>
    <t>Trias</t>
  </si>
  <si>
    <t>Vitree</t>
  </si>
  <si>
    <t>Adullam</t>
  </si>
  <si>
    <t>Stellingwerven</t>
  </si>
  <si>
    <t>Zozijn</t>
  </si>
  <si>
    <t>Su International</t>
  </si>
  <si>
    <t>Timpaan</t>
  </si>
  <si>
    <t>Weijenberg</t>
  </si>
  <si>
    <t>WSG Gezinsvormen</t>
  </si>
  <si>
    <t>Yarin</t>
  </si>
  <si>
    <t>Yes We Can</t>
  </si>
  <si>
    <t>ZB Beumershoek</t>
  </si>
  <si>
    <t>ZB de Ruimte</t>
  </si>
  <si>
    <t>ZB Molenzicht Kidzz</t>
  </si>
  <si>
    <t>ZB Rond-Umme</t>
  </si>
  <si>
    <t>Klaver 4 You</t>
  </si>
  <si>
    <t>Versie 21-10-2025</t>
  </si>
  <si>
    <t>Aangepast in versie 1.8 ten opzichte van versie 1.7</t>
  </si>
  <si>
    <t>Tarieven aangepast naar 2026</t>
  </si>
  <si>
    <r>
      <t>Aanwezigheids</t>
    </r>
    <r>
      <rPr>
        <i/>
        <u/>
        <sz val="10"/>
        <color theme="1"/>
        <rFont val="Arial"/>
        <family val="2"/>
      </rPr>
      <t>dagen</t>
    </r>
    <r>
      <rPr>
        <sz val="10"/>
        <color theme="1"/>
        <rFont val="Arial"/>
        <family val="2"/>
      </rPr>
      <t xml:space="preserve"> bij het groepsaanbod</t>
    </r>
  </si>
  <si>
    <r>
      <t>Gemiddeld aantal aanwezigheids</t>
    </r>
    <r>
      <rPr>
        <i/>
        <u/>
        <sz val="10"/>
        <color theme="1"/>
        <rFont val="Arial"/>
        <family val="2"/>
      </rPr>
      <t>uren per dag</t>
    </r>
    <r>
      <rPr>
        <sz val="10"/>
        <color theme="1"/>
        <rFont val="Arial"/>
        <family val="2"/>
      </rPr>
      <t xml:space="preserve"> groepsaanbod</t>
    </r>
  </si>
  <si>
    <r>
      <t xml:space="preserve">(Grijze velden zijn </t>
    </r>
    <r>
      <rPr>
        <b/>
        <i/>
        <sz val="10"/>
        <color rgb="FFFF0000"/>
        <rFont val="Arial"/>
        <family val="2"/>
      </rPr>
      <t>verplichte</t>
    </r>
    <r>
      <rPr>
        <b/>
        <sz val="10"/>
        <color rgb="FFFF0000"/>
        <rFont val="Arial"/>
        <family val="2"/>
      </rPr>
      <t xml:space="preserve"> </t>
    </r>
    <r>
      <rPr>
        <b/>
        <sz val="10"/>
        <color rgb="FF000000"/>
        <rFont val="Arial"/>
        <family val="2"/>
      </rPr>
      <t>invulvelden)</t>
    </r>
  </si>
  <si>
    <r>
      <t xml:space="preserve">Perceel 1
</t>
    </r>
    <r>
      <rPr>
        <b/>
        <sz val="8"/>
        <color theme="1"/>
        <rFont val="Arial"/>
        <family val="2"/>
      </rPr>
      <t>Ambulante jeugdhulp individueel specialistische jeugdhulpaanbieder (SJA)</t>
    </r>
  </si>
  <si>
    <r>
      <t xml:space="preserve">Perceel 2
</t>
    </r>
    <r>
      <rPr>
        <b/>
        <sz val="8"/>
        <color theme="1"/>
        <rFont val="Arial"/>
        <family val="2"/>
      </rPr>
      <t>Ambulante jeugdhulp individueel systeemaanbieder (SA)</t>
    </r>
  </si>
  <si>
    <r>
      <t xml:space="preserve">Perceel 3
</t>
    </r>
    <r>
      <rPr>
        <b/>
        <sz val="8"/>
        <color theme="1"/>
        <rFont val="Arial"/>
        <family val="2"/>
      </rPr>
      <t>Ambulante jeugdhulp individueel GGZ 1 aanbieder</t>
    </r>
  </si>
  <si>
    <r>
      <t xml:space="preserve">Perceel 4
</t>
    </r>
    <r>
      <rPr>
        <b/>
        <sz val="8"/>
        <color theme="1"/>
        <rFont val="Arial"/>
        <family val="2"/>
      </rPr>
      <t>Ambulante jeugdhulp individueel aanbieder GGZ 2 met verblijf</t>
    </r>
  </si>
  <si>
    <r>
      <t xml:space="preserve">Perceel 5
</t>
    </r>
    <r>
      <rPr>
        <b/>
        <sz val="8"/>
        <color theme="1"/>
        <rFont val="Arial"/>
        <family val="2"/>
      </rPr>
      <t>Ambulante jeugdhulp individueel aanbieder GGZ 3 met academische functie</t>
    </r>
  </si>
  <si>
    <r>
      <t xml:space="preserve">Perceel 6
</t>
    </r>
    <r>
      <rPr>
        <b/>
        <sz val="8"/>
        <color theme="1"/>
        <rFont val="Arial"/>
        <family val="2"/>
      </rPr>
      <t>Ambulante jeugdhulp groepsaanbod</t>
    </r>
  </si>
  <si>
    <r>
      <t xml:space="preserve">Perceel 7
</t>
    </r>
    <r>
      <rPr>
        <b/>
        <sz val="8"/>
        <color theme="1"/>
        <rFont val="Arial"/>
        <family val="2"/>
      </rPr>
      <t>Voorziening- financiering MST</t>
    </r>
  </si>
  <si>
    <r>
      <t xml:space="preserve">Perceel 7
</t>
    </r>
    <r>
      <rPr>
        <b/>
        <sz val="8"/>
        <color theme="1"/>
        <rFont val="Arial"/>
        <family val="2"/>
      </rPr>
      <t>Voorziening- financiering ZIT</t>
    </r>
  </si>
  <si>
    <r>
      <t xml:space="preserve">Perceel 8
</t>
    </r>
    <r>
      <rPr>
        <b/>
        <sz val="8"/>
        <color theme="1"/>
        <rFont val="Arial"/>
        <family val="2"/>
      </rPr>
      <t>Wonen en verblijf</t>
    </r>
  </si>
  <si>
    <r>
      <t xml:space="preserve">Perceel 9
</t>
    </r>
    <r>
      <rPr>
        <b/>
        <sz val="8"/>
        <color theme="1"/>
        <rFont val="Arial"/>
        <family val="2"/>
      </rPr>
      <t>Ernstige Dyslexie</t>
    </r>
  </si>
  <si>
    <t>Indexatie per perceel 2026</t>
  </si>
  <si>
    <t>Afwijkend uurtarief o.b.v. verwachte functiemix (zie ook vraag 17 t/m 22)</t>
  </si>
  <si>
    <t>Nieuwe versie 2026</t>
  </si>
  <si>
    <t>Johan</t>
  </si>
  <si>
    <t>Rekehulp ambulant budget, vraag 12</t>
  </si>
  <si>
    <t>C23</t>
  </si>
  <si>
    <t>Tekst aangepast naar vraag 17 t/m 22</t>
  </si>
  <si>
    <t>1.8</t>
  </si>
  <si>
    <t>Tekst in regel"... functiemix (zie ook vraag 17 t/m 26)" klopt niet [meer]</t>
  </si>
  <si>
    <t>Diverse formules op "Lijsten" kloppen niet meer - zijn fout #VERW</t>
  </si>
  <si>
    <t>Lijsten, divers</t>
  </si>
  <si>
    <t>divers</t>
  </si>
  <si>
    <t>Formules aangepast adhv eerdere rekenhulp uit 2023</t>
  </si>
  <si>
    <t>Deze kolom B is het overgenomen Gemiddelde uurtarief uit tabblad "Tarieven - rij 14"</t>
  </si>
  <si>
    <t>Update overzicht gecontracteerde aanbieders (tabblad Aanbieders ROK SJH IJsselland)</t>
  </si>
  <si>
    <t>Tarief 2026 aangepast</t>
  </si>
  <si>
    <t>Lijsten</t>
  </si>
  <si>
    <t>Tarieven aangepast conform VzB 2026 (20260129)</t>
  </si>
  <si>
    <t>1.9</t>
  </si>
  <si>
    <t>Versie 1.9</t>
  </si>
  <si>
    <t>Aangepast in versie 1.9 ten opzichte van versie 1.8</t>
  </si>
  <si>
    <t>Nieuw tarieven voor 2026 per 29-01-2026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</si>
</sst>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 #,##0.00;&quot;€&quot;\ \-#,##0.00"/>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sz val="10"/>
      <color rgb="FF000000"/>
      <name val="Arial"/>
      <family val="2"/>
    </font>
    <font>
      <b/>
      <sz val="10"/>
      <color rgb="FF000000"/>
      <name val="Arial"/>
      <family val="2"/>
    </font>
    <font>
      <sz val="10"/>
      <color rgb="FFFF0066"/>
      <name val="Arial"/>
      <family val="2"/>
    </font>
    <font>
      <b/>
      <sz val="12"/>
      <color theme="1"/>
      <name val="Arial"/>
      <family val="2"/>
    </font>
    <font>
      <b/>
      <sz val="14"/>
      <color theme="1"/>
      <name val="Arial"/>
      <family val="2"/>
    </font>
    <font>
      <sz val="12"/>
      <color theme="1"/>
      <name val="Arial"/>
      <family val="2"/>
    </font>
    <font>
      <b/>
      <sz val="10"/>
      <color rgb="FFFF0000"/>
      <name val="Arial"/>
      <family val="2"/>
    </font>
    <font>
      <b/>
      <sz val="10"/>
      <name val="Arial"/>
      <family val="2"/>
    </font>
    <font>
      <b/>
      <sz val="18"/>
      <color theme="1"/>
      <name val="Arial"/>
      <family val="2"/>
    </font>
    <font>
      <b/>
      <i/>
      <sz val="10"/>
      <color rgb="FFFF0000"/>
      <name val="Arial"/>
      <family val="2"/>
    </font>
    <font>
      <i/>
      <u/>
      <sz val="10"/>
      <color theme="1"/>
      <name val="Arial"/>
      <family val="2"/>
    </font>
    <font>
      <b/>
      <sz val="12"/>
      <color rgb="FF000000"/>
      <name val="Arial"/>
      <family val="2"/>
    </font>
    <font>
      <b/>
      <sz val="10"/>
      <color rgb="FF3333FF"/>
      <name val="Arial"/>
      <family val="2"/>
    </font>
    <font>
      <sz val="10"/>
      <color rgb="FF3333FF"/>
      <name val="Arial"/>
      <family val="2"/>
    </font>
    <font>
      <b/>
      <sz val="10"/>
      <color rgb="FFFF0066"/>
      <name val="Arial"/>
      <family val="2"/>
    </font>
    <font>
      <b/>
      <sz val="16"/>
      <color rgb="FFFF0066"/>
      <name val="Arial"/>
      <family val="2"/>
    </font>
    <font>
      <b/>
      <sz val="8"/>
      <color theme="1"/>
      <name val="Arial"/>
      <family val="2"/>
    </font>
    <font>
      <sz val="9"/>
      <color theme="1"/>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thick">
        <color auto="1"/>
      </bottom>
      <diagonal/>
    </border>
  </borders>
  <cellStyleXfs count="40932">
    <xf numFmtId="0" fontId="0" fillId="0" borderId="0"/>
    <xf numFmtId="0" fontId="7" fillId="0" borderId="0" applyNumberFormat="0" applyFill="0" applyBorder="0" applyAlignment="0" applyProtection="0"/>
    <xf numFmtId="0" fontId="23" fillId="0" borderId="0"/>
    <xf numFmtId="0" fontId="24" fillId="0" borderId="0" applyNumberFormat="0" applyFill="0" applyBorder="0" applyAlignment="0" applyProtection="0"/>
    <xf numFmtId="0" fontId="25" fillId="0" borderId="14" applyNumberFormat="0" applyFill="0" applyAlignment="0" applyProtection="0"/>
    <xf numFmtId="0" fontId="26" fillId="0" borderId="15"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8" fillId="11"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1" fillId="14" borderId="17" applyNumberFormat="0" applyAlignment="0" applyProtection="0"/>
    <xf numFmtId="0" fontId="32" fillId="15" borderId="18" applyNumberFormat="0" applyAlignment="0" applyProtection="0"/>
    <xf numFmtId="0" fontId="33" fillId="15" borderId="17" applyNumberFormat="0" applyAlignment="0" applyProtection="0"/>
    <xf numFmtId="0" fontId="34" fillId="0" borderId="19" applyNumberFormat="0" applyFill="0" applyAlignment="0" applyProtection="0"/>
    <xf numFmtId="0" fontId="35" fillId="16"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2" applyNumberFormat="0" applyFill="0" applyAlignment="0" applyProtection="0"/>
    <xf numFmtId="0" fontId="39"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39" fillId="41" borderId="0" applyNumberFormat="0" applyBorder="0" applyAlignment="0" applyProtection="0"/>
    <xf numFmtId="0" fontId="41" fillId="0" borderId="0"/>
    <xf numFmtId="44" fontId="41" fillId="0" borderId="0" applyFont="0" applyFill="0" applyBorder="0" applyAlignment="0" applyProtection="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18" borderId="0" applyNumberFormat="0" applyBorder="0" applyAlignment="0" applyProtection="0"/>
    <xf numFmtId="0" fontId="21" fillId="43"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44" borderId="0" applyNumberFormat="0" applyBorder="0" applyAlignment="0" applyProtection="0"/>
    <xf numFmtId="0" fontId="21" fillId="34" borderId="0" applyNumberFormat="0" applyBorder="0" applyAlignment="0" applyProtection="0"/>
    <xf numFmtId="0" fontId="43" fillId="45" borderId="0" applyNumberFormat="0" applyBorder="0" applyAlignment="0" applyProtection="0"/>
    <xf numFmtId="0" fontId="21" fillId="38" borderId="0" applyNumberFormat="0" applyBorder="0" applyAlignment="0" applyProtection="0"/>
    <xf numFmtId="0" fontId="16" fillId="15" borderId="17" applyNumberFormat="0" applyAlignment="0" applyProtection="0"/>
    <xf numFmtId="3" fontId="44" fillId="46" borderId="17">
      <alignment horizontal="right" vertical="center" wrapText="1"/>
      <protection hidden="1"/>
    </xf>
    <xf numFmtId="43" fontId="40" fillId="0" borderId="0" applyFont="0" applyFill="0" applyBorder="0" applyAlignment="0" applyProtection="0"/>
    <xf numFmtId="41" fontId="40" fillId="0" borderId="0" applyFont="0" applyFill="0" applyBorder="0" applyAlignment="0" applyProtection="0"/>
    <xf numFmtId="0" fontId="18" fillId="16" borderId="20" applyNumberFormat="0" applyAlignment="0" applyProtection="0"/>
    <xf numFmtId="168" fontId="45" fillId="47" borderId="0">
      <alignment horizontal="center" wrapText="1"/>
    </xf>
    <xf numFmtId="44" fontId="40" fillId="0" borderId="0" applyFont="0" applyFill="0" applyBorder="0" applyAlignment="0" applyProtection="0"/>
    <xf numFmtId="42" fontId="40" fillId="0" borderId="0" applyFont="0" applyFill="0" applyBorder="0" applyAlignment="0" applyProtection="0"/>
    <xf numFmtId="169" fontId="40" fillId="0" borderId="0" applyFont="0" applyFill="0" applyBorder="0" applyAlignment="0" applyProtection="0"/>
    <xf numFmtId="170" fontId="46" fillId="0" borderId="0"/>
    <xf numFmtId="171" fontId="47" fillId="0" borderId="0"/>
    <xf numFmtId="171" fontId="46" fillId="0" borderId="0"/>
    <xf numFmtId="172" fontId="46" fillId="0" borderId="0"/>
    <xf numFmtId="0" fontId="17" fillId="0" borderId="19" applyNumberFormat="0" applyFill="0" applyAlignment="0" applyProtection="0"/>
    <xf numFmtId="0" fontId="12" fillId="11" borderId="0" applyNumberFormat="0" applyBorder="0" applyAlignment="0" applyProtection="0"/>
    <xf numFmtId="0" fontId="48" fillId="0" borderId="0">
      <alignment horizontal="center"/>
    </xf>
    <xf numFmtId="0" fontId="9" fillId="0" borderId="14" applyNumberFormat="0" applyFill="0" applyAlignment="0" applyProtection="0"/>
    <xf numFmtId="0" fontId="11" fillId="0" borderId="16" applyNumberFormat="0" applyFill="0" applyAlignment="0" applyProtection="0"/>
    <xf numFmtId="0" fontId="48" fillId="0" borderId="0">
      <alignment horizontal="center" textRotation="90"/>
    </xf>
    <xf numFmtId="0" fontId="49" fillId="42" borderId="0">
      <alignment horizontal="right" wrapText="1"/>
      <protection hidden="1"/>
    </xf>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2" fillId="0" borderId="0" applyNumberFormat="0" applyFill="0" applyBorder="0" applyAlignment="0" applyProtection="0"/>
    <xf numFmtId="0" fontId="53" fillId="0" borderId="0" applyNumberFormat="0" applyFill="0" applyBorder="0" applyAlignment="0" applyProtection="0"/>
    <xf numFmtId="0" fontId="14" fillId="14" borderId="17" applyNumberFormat="0" applyAlignment="0" applyProtection="0"/>
    <xf numFmtId="173" fontId="54" fillId="48" borderId="23" applyProtection="0">
      <protection locked="0"/>
    </xf>
    <xf numFmtId="43" fontId="8" fillId="0" borderId="0" applyFont="0" applyFill="0" applyBorder="0" applyAlignment="0" applyProtection="0"/>
    <xf numFmtId="43" fontId="8" fillId="0" borderId="0" applyFont="0" applyFill="0" applyBorder="0" applyAlignment="0" applyProtection="0"/>
    <xf numFmtId="174" fontId="40" fillId="0" borderId="0" applyFont="0" applyFill="0" applyBorder="0" applyAlignment="0" applyProtection="0"/>
    <xf numFmtId="174" fontId="55"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56" fillId="47" borderId="1">
      <alignment horizontal="center" wrapText="1"/>
    </xf>
    <xf numFmtId="0" fontId="40" fillId="38" borderId="1">
      <alignment horizontal="center" vertical="center" wrapText="1"/>
    </xf>
    <xf numFmtId="0" fontId="57" fillId="13" borderId="0" applyNumberFormat="0" applyBorder="0" applyAlignment="0" applyProtection="0"/>
    <xf numFmtId="0" fontId="40" fillId="0" borderId="0"/>
    <xf numFmtId="0" fontId="23" fillId="17" borderId="21" applyNumberFormat="0" applyFont="0" applyAlignment="0" applyProtection="0"/>
    <xf numFmtId="0" fontId="8" fillId="17" borderId="21" applyNumberFormat="0" applyFont="0" applyAlignment="0" applyProtection="0"/>
    <xf numFmtId="0" fontId="13" fillId="12"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0"/>
    <xf numFmtId="175" fontId="58" fillId="0" borderId="0"/>
    <xf numFmtId="0" fontId="41" fillId="0" borderId="0"/>
    <xf numFmtId="0" fontId="41" fillId="0" borderId="0"/>
    <xf numFmtId="0" fontId="40" fillId="0" borderId="0"/>
    <xf numFmtId="0" fontId="41" fillId="0" borderId="0"/>
    <xf numFmtId="0" fontId="41" fillId="0" borderId="0"/>
    <xf numFmtId="0" fontId="40" fillId="0" borderId="0"/>
    <xf numFmtId="0" fontId="8" fillId="0" borderId="0"/>
    <xf numFmtId="0" fontId="8" fillId="0" borderId="0"/>
    <xf numFmtId="0" fontId="41" fillId="0" borderId="0"/>
    <xf numFmtId="0" fontId="40" fillId="0" borderId="0"/>
    <xf numFmtId="0" fontId="8" fillId="0" borderId="0"/>
    <xf numFmtId="0" fontId="59" fillId="0" borderId="0"/>
    <xf numFmtId="0" fontId="60" fillId="0" borderId="0"/>
    <xf numFmtId="0" fontId="23" fillId="0" borderId="0"/>
    <xf numFmtId="0" fontId="59" fillId="0" borderId="0"/>
    <xf numFmtId="0" fontId="40" fillId="0" borderId="0"/>
    <xf numFmtId="0" fontId="61" fillId="0" borderId="0"/>
    <xf numFmtId="0" fontId="41" fillId="0" borderId="0"/>
    <xf numFmtId="0" fontId="8" fillId="0" borderId="0"/>
    <xf numFmtId="0" fontId="23" fillId="0" borderId="0"/>
    <xf numFmtId="0" fontId="6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61" fillId="0" borderId="0"/>
    <xf numFmtId="0" fontId="55" fillId="0" borderId="0"/>
    <xf numFmtId="0" fontId="62" fillId="0" borderId="0"/>
    <xf numFmtId="0" fontId="41" fillId="0" borderId="0"/>
    <xf numFmtId="0" fontId="23" fillId="0" borderId="0"/>
    <xf numFmtId="0" fontId="23" fillId="0" borderId="0"/>
    <xf numFmtId="0" fontId="23" fillId="0" borderId="0"/>
    <xf numFmtId="0" fontId="59" fillId="0" borderId="0"/>
    <xf numFmtId="0" fontId="40" fillId="0" borderId="0"/>
    <xf numFmtId="0" fontId="8" fillId="0" borderId="0"/>
    <xf numFmtId="0" fontId="22" fillId="0" borderId="0"/>
    <xf numFmtId="0" fontId="8" fillId="0" borderId="0"/>
    <xf numFmtId="0" fontId="41" fillId="0" borderId="0"/>
    <xf numFmtId="0" fontId="23" fillId="0" borderId="0"/>
    <xf numFmtId="0" fontId="22" fillId="0" borderId="0"/>
    <xf numFmtId="3" fontId="44" fillId="46" borderId="17">
      <alignment horizontal="left" vertical="center" wrapText="1"/>
      <protection hidden="1"/>
    </xf>
    <xf numFmtId="0" fontId="24" fillId="0" borderId="0" applyNumberFormat="0" applyFill="0" applyBorder="0" applyAlignment="0" applyProtection="0"/>
    <xf numFmtId="0" fontId="5" fillId="0" borderId="22" applyNumberFormat="0" applyFill="0" applyAlignment="0" applyProtection="0"/>
    <xf numFmtId="0" fontId="15" fillId="15" borderId="18" applyNumberFormat="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44" fontId="6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9" fillId="12" borderId="0" applyNumberFormat="0" applyBorder="0" applyAlignment="0" applyProtection="0"/>
    <xf numFmtId="0" fontId="23" fillId="0" borderId="0"/>
    <xf numFmtId="0" fontId="64"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53" fillId="0" borderId="0" applyNumberFormat="0" applyFill="0" applyBorder="0" applyAlignment="0" applyProtection="0"/>
    <xf numFmtId="44" fontId="23"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4" fillId="0" borderId="0"/>
  </cellStyleXfs>
  <cellXfs count="225">
    <xf numFmtId="0" fontId="0" fillId="0" borderId="0" xfId="0"/>
    <xf numFmtId="0" fontId="65" fillId="0" borderId="1" xfId="503" applyFont="1" applyBorder="1" applyAlignment="1">
      <alignment vertical="top" wrapText="1"/>
    </xf>
    <xf numFmtId="0" fontId="65" fillId="0" borderId="0" xfId="0" applyFont="1"/>
    <xf numFmtId="0" fontId="40" fillId="0" borderId="1" xfId="503" applyFont="1" applyBorder="1" applyAlignment="1">
      <alignment vertical="top" wrapText="1"/>
    </xf>
    <xf numFmtId="0" fontId="38" fillId="9" borderId="1" xfId="503" applyFont="1" applyFill="1" applyBorder="1" applyAlignment="1">
      <alignment horizontal="center" vertical="top"/>
    </xf>
    <xf numFmtId="0" fontId="38" fillId="9" borderId="1" xfId="503" applyFont="1" applyFill="1" applyBorder="1" applyAlignment="1">
      <alignment horizontal="center" vertical="center"/>
    </xf>
    <xf numFmtId="0" fontId="66" fillId="52" borderId="45" xfId="0" applyFont="1" applyFill="1" applyBorder="1" applyAlignment="1">
      <alignment vertical="center" wrapText="1"/>
    </xf>
    <xf numFmtId="0" fontId="66" fillId="52" borderId="45" xfId="0" applyFont="1" applyFill="1" applyBorder="1" applyAlignment="1">
      <alignment horizontal="center" vertical="center" wrapText="1"/>
    </xf>
    <xf numFmtId="0" fontId="65" fillId="0" borderId="34" xfId="0" applyFont="1" applyBorder="1" applyAlignment="1">
      <alignment vertical="center"/>
    </xf>
    <xf numFmtId="0" fontId="65" fillId="0" borderId="28" xfId="0" applyFont="1" applyBorder="1" applyAlignment="1">
      <alignment horizontal="center" vertical="center" wrapText="1"/>
    </xf>
    <xf numFmtId="0" fontId="66" fillId="52" borderId="44" xfId="0" applyFont="1" applyFill="1" applyBorder="1" applyAlignment="1">
      <alignment vertical="center" wrapText="1"/>
    </xf>
    <xf numFmtId="0" fontId="65" fillId="0" borderId="1" xfId="0" applyFont="1" applyBorder="1" applyAlignment="1">
      <alignment vertical="center" wrapText="1"/>
    </xf>
    <xf numFmtId="0" fontId="67" fillId="0" borderId="0" xfId="0" applyFont="1" applyAlignment="1">
      <alignment vertical="center"/>
    </xf>
    <xf numFmtId="0" fontId="38" fillId="0" borderId="0" xfId="0" applyFont="1" applyAlignment="1">
      <alignment vertical="center"/>
    </xf>
    <xf numFmtId="0" fontId="65" fillId="0" borderId="47" xfId="0" applyFont="1" applyBorder="1" applyAlignment="1">
      <alignment horizontal="center" vertical="center"/>
    </xf>
    <xf numFmtId="0" fontId="68" fillId="0" borderId="0" xfId="0" applyFont="1"/>
    <xf numFmtId="0" fontId="60" fillId="0" borderId="0" xfId="0" applyFont="1"/>
    <xf numFmtId="0" fontId="69" fillId="0" borderId="0" xfId="0" applyFont="1" applyAlignment="1">
      <alignment vertical="top"/>
    </xf>
    <xf numFmtId="0" fontId="68" fillId="0" borderId="0" xfId="0" applyFont="1" applyAlignment="1">
      <alignment vertical="top"/>
    </xf>
    <xf numFmtId="0" fontId="38" fillId="0" borderId="0" xfId="0" applyFont="1" applyAlignment="1">
      <alignment vertical="top"/>
    </xf>
    <xf numFmtId="0" fontId="4" fillId="0" borderId="0" xfId="0" applyFont="1" applyAlignment="1">
      <alignment vertical="top"/>
    </xf>
    <xf numFmtId="0" fontId="38" fillId="7" borderId="2" xfId="0" applyFont="1" applyFill="1" applyBorder="1" applyAlignment="1">
      <alignment vertical="top"/>
    </xf>
    <xf numFmtId="0" fontId="4" fillId="7" borderId="10" xfId="0" applyFont="1" applyFill="1" applyBorder="1" applyAlignment="1">
      <alignment vertical="top"/>
    </xf>
    <xf numFmtId="0" fontId="4" fillId="7" borderId="11" xfId="0" applyFont="1" applyFill="1" applyBorder="1" applyAlignment="1">
      <alignment vertical="top"/>
    </xf>
    <xf numFmtId="0" fontId="38" fillId="0" borderId="12" xfId="0" applyFont="1" applyBorder="1" applyAlignment="1">
      <alignment vertical="top"/>
    </xf>
    <xf numFmtId="0" fontId="38" fillId="0" borderId="1" xfId="0" applyFont="1" applyBorder="1" applyAlignment="1">
      <alignment vertical="top"/>
    </xf>
    <xf numFmtId="0" fontId="4" fillId="0" borderId="1" xfId="0" applyFont="1" applyBorder="1" applyAlignment="1">
      <alignment vertical="top" wrapText="1"/>
    </xf>
    <xf numFmtId="0" fontId="4" fillId="0" borderId="13" xfId="0" applyFont="1" applyBorder="1" applyAlignment="1">
      <alignment vertical="top"/>
    </xf>
    <xf numFmtId="0" fontId="38" fillId="0" borderId="6" xfId="0" applyFont="1" applyBorder="1" applyAlignment="1">
      <alignment vertical="top"/>
    </xf>
    <xf numFmtId="0" fontId="4" fillId="0" borderId="7" xfId="0" applyFont="1" applyBorder="1" applyAlignment="1">
      <alignment vertical="top"/>
    </xf>
    <xf numFmtId="0" fontId="4" fillId="0" borderId="0" xfId="0" applyFont="1" applyAlignment="1">
      <alignment vertical="top" wrapText="1"/>
    </xf>
    <xf numFmtId="0" fontId="71" fillId="7" borderId="3" xfId="0" applyFont="1" applyFill="1" applyBorder="1" applyAlignment="1">
      <alignment vertical="top" wrapText="1"/>
    </xf>
    <xf numFmtId="0" fontId="72" fillId="7" borderId="3" xfId="0" applyFont="1" applyFill="1" applyBorder="1" applyAlignment="1">
      <alignment vertical="top" wrapText="1"/>
    </xf>
    <xf numFmtId="0" fontId="72" fillId="7" borderId="1" xfId="0" applyFont="1" applyFill="1" applyBorder="1" applyAlignment="1">
      <alignment vertical="top" wrapText="1"/>
    </xf>
    <xf numFmtId="0" fontId="4" fillId="0" borderId="9" xfId="0" applyFont="1" applyBorder="1" applyAlignment="1">
      <alignment vertical="top" wrapText="1"/>
    </xf>
    <xf numFmtId="0" fontId="40" fillId="0" borderId="1" xfId="0" applyFont="1" applyBorder="1" applyAlignment="1">
      <alignment vertical="top" wrapText="1"/>
    </xf>
    <xf numFmtId="0" fontId="53" fillId="0" borderId="1" xfId="1" applyFont="1" applyBorder="1" applyAlignment="1">
      <alignment vertical="top" wrapText="1"/>
    </xf>
    <xf numFmtId="0" fontId="4" fillId="0" borderId="1" xfId="0" applyFont="1" applyBorder="1" applyAlignment="1">
      <alignment horizontal="right" vertical="top" wrapText="1"/>
    </xf>
    <xf numFmtId="0" fontId="73" fillId="0" borderId="24" xfId="0" applyFont="1" applyBorder="1" applyAlignment="1">
      <alignment vertical="center"/>
    </xf>
    <xf numFmtId="0" fontId="4" fillId="0" borderId="25" xfId="0" applyFont="1" applyBorder="1"/>
    <xf numFmtId="0" fontId="4" fillId="0" borderId="0" xfId="0" applyFont="1"/>
    <xf numFmtId="0" fontId="71" fillId="0" borderId="0" xfId="0" applyFont="1"/>
    <xf numFmtId="0" fontId="4" fillId="0" borderId="1" xfId="0" applyFont="1" applyBorder="1"/>
    <xf numFmtId="0" fontId="4" fillId="0" borderId="2" xfId="0" applyFont="1" applyBorder="1"/>
    <xf numFmtId="0" fontId="72" fillId="0" borderId="1" xfId="0" applyFont="1" applyBorder="1" applyAlignment="1" applyProtection="1">
      <alignment horizontal="left"/>
      <protection locked="0"/>
    </xf>
    <xf numFmtId="0" fontId="4" fillId="0" borderId="1" xfId="0" applyFont="1" applyBorder="1" applyProtection="1">
      <protection hidden="1"/>
    </xf>
    <xf numFmtId="0" fontId="40" fillId="0" borderId="1" xfId="0" applyFont="1" applyBorder="1" applyAlignment="1" applyProtection="1">
      <alignment horizontal="left"/>
      <protection locked="0"/>
    </xf>
    <xf numFmtId="0" fontId="38" fillId="0" borderId="0" xfId="0" applyFont="1" applyAlignment="1">
      <alignment horizontal="right"/>
    </xf>
    <xf numFmtId="167" fontId="4" fillId="0" borderId="30" xfId="0" applyNumberFormat="1" applyFont="1" applyBorder="1"/>
    <xf numFmtId="0" fontId="4" fillId="0" borderId="30" xfId="0" applyFont="1" applyBorder="1"/>
    <xf numFmtId="0" fontId="38" fillId="0" borderId="3" xfId="0" applyFont="1" applyBorder="1" applyAlignment="1">
      <alignment horizontal="left"/>
    </xf>
    <xf numFmtId="1" fontId="4" fillId="0" borderId="30" xfId="0" applyNumberFormat="1" applyFont="1" applyBorder="1"/>
    <xf numFmtId="0" fontId="4" fillId="8" borderId="1" xfId="0" applyFont="1" applyFill="1" applyBorder="1"/>
    <xf numFmtId="0" fontId="38" fillId="8" borderId="3" xfId="0" applyFont="1" applyFill="1" applyBorder="1" applyAlignment="1">
      <alignment horizontal="left"/>
    </xf>
    <xf numFmtId="0" fontId="38" fillId="8" borderId="3" xfId="0" applyFont="1" applyFill="1" applyBorder="1"/>
    <xf numFmtId="3" fontId="4" fillId="0" borderId="30" xfId="0" applyNumberFormat="1" applyFont="1" applyBorder="1"/>
    <xf numFmtId="0" fontId="4" fillId="0" borderId="3" xfId="0" applyFont="1" applyBorder="1"/>
    <xf numFmtId="1" fontId="4" fillId="0" borderId="1" xfId="0" applyNumberFormat="1" applyFont="1" applyBorder="1" applyProtection="1">
      <protection locked="0"/>
    </xf>
    <xf numFmtId="0" fontId="65" fillId="0" borderId="1" xfId="0" applyFont="1" applyBorder="1"/>
    <xf numFmtId="0" fontId="4" fillId="0" borderId="1" xfId="0" applyFont="1" applyBorder="1" applyProtection="1">
      <protection locked="0"/>
    </xf>
    <xf numFmtId="3" fontId="4" fillId="0" borderId="31" xfId="0" applyNumberFormat="1" applyFont="1" applyBorder="1" applyAlignment="1">
      <alignment horizontal="right"/>
    </xf>
    <xf numFmtId="167" fontId="4" fillId="0" borderId="1" xfId="0" applyNumberFormat="1" applyFont="1" applyBorder="1" applyProtection="1">
      <protection locked="0"/>
    </xf>
    <xf numFmtId="164" fontId="4" fillId="0" borderId="30" xfId="0" applyNumberFormat="1" applyFont="1" applyBorder="1"/>
    <xf numFmtId="164" fontId="4" fillId="0" borderId="0" xfId="0" applyNumberFormat="1" applyFont="1"/>
    <xf numFmtId="0" fontId="4" fillId="9" borderId="2" xfId="0" applyFont="1" applyFill="1" applyBorder="1" applyAlignment="1">
      <alignment horizontal="left"/>
    </xf>
    <xf numFmtId="0" fontId="4" fillId="9" borderId="4" xfId="0" applyFont="1" applyFill="1" applyBorder="1" applyAlignment="1">
      <alignment horizontal="left"/>
    </xf>
    <xf numFmtId="0" fontId="4" fillId="9" borderId="3" xfId="0" applyFont="1" applyFill="1" applyBorder="1" applyAlignment="1">
      <alignment horizontal="left"/>
    </xf>
    <xf numFmtId="165" fontId="38" fillId="9" borderId="35" xfId="0" applyNumberFormat="1" applyFont="1" applyFill="1" applyBorder="1"/>
    <xf numFmtId="0" fontId="4" fillId="0" borderId="1" xfId="0" applyFont="1" applyBorder="1" applyAlignment="1" applyProtection="1">
      <alignment horizontal="right"/>
      <protection locked="0"/>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165" fontId="38" fillId="0" borderId="0" xfId="0" applyNumberFormat="1" applyFont="1"/>
    <xf numFmtId="167" fontId="4" fillId="7" borderId="1" xfId="0" applyNumberFormat="1" applyFont="1" applyFill="1" applyBorder="1" applyProtection="1">
      <protection locked="0"/>
    </xf>
    <xf numFmtId="0" fontId="4" fillId="0" borderId="1" xfId="0" applyFont="1" applyBorder="1" applyAlignment="1" applyProtection="1">
      <alignment horizontal="right" vertical="center"/>
      <protection locked="0"/>
    </xf>
    <xf numFmtId="0" fontId="4" fillId="0" borderId="0" xfId="0" applyFont="1" applyAlignment="1" applyProtection="1">
      <alignment vertical="center"/>
      <protection locked="0"/>
    </xf>
    <xf numFmtId="165" fontId="4" fillId="9" borderId="31" xfId="0" applyNumberFormat="1" applyFont="1" applyFill="1" applyBorder="1" applyAlignment="1">
      <alignment horizontal="right" vertical="center"/>
    </xf>
    <xf numFmtId="0" fontId="4" fillId="0" borderId="4" xfId="0" applyFont="1" applyBorder="1"/>
    <xf numFmtId="164" fontId="4" fillId="0" borderId="1" xfId="0" applyNumberFormat="1" applyFont="1" applyBorder="1" applyProtection="1">
      <protection hidden="1"/>
    </xf>
    <xf numFmtId="0" fontId="38" fillId="9" borderId="2" xfId="0" applyFont="1" applyFill="1" applyBorder="1" applyAlignment="1">
      <alignment horizontal="left"/>
    </xf>
    <xf numFmtId="0" fontId="38" fillId="9" borderId="4" xfId="0" applyFont="1" applyFill="1" applyBorder="1" applyAlignment="1">
      <alignment horizontal="left"/>
    </xf>
    <xf numFmtId="165" fontId="38" fillId="9" borderId="30" xfId="0" applyNumberFormat="1" applyFont="1" applyFill="1" applyBorder="1" applyAlignment="1">
      <alignment horizontal="right" vertical="center"/>
    </xf>
    <xf numFmtId="0" fontId="4" fillId="0" borderId="27" xfId="0" applyFont="1" applyBorder="1"/>
    <xf numFmtId="164" fontId="40" fillId="7" borderId="1" xfId="0" applyNumberFormat="1" applyFont="1" applyFill="1" applyBorder="1" applyAlignment="1">
      <alignment horizontal="right"/>
    </xf>
    <xf numFmtId="0" fontId="38" fillId="51" borderId="2" xfId="0" applyFont="1" applyFill="1" applyBorder="1" applyAlignment="1">
      <alignment horizontal="left"/>
    </xf>
    <xf numFmtId="0" fontId="38" fillId="51" borderId="4" xfId="0" applyFont="1" applyFill="1" applyBorder="1" applyAlignment="1">
      <alignment horizontal="left"/>
    </xf>
    <xf numFmtId="165" fontId="38" fillId="51" borderId="30" xfId="0" applyNumberFormat="1" applyFont="1" applyFill="1" applyBorder="1"/>
    <xf numFmtId="0" fontId="38" fillId="49" borderId="1" xfId="0" applyFont="1" applyFill="1" applyBorder="1"/>
    <xf numFmtId="0" fontId="38" fillId="49" borderId="4" xfId="0" applyFont="1" applyFill="1" applyBorder="1"/>
    <xf numFmtId="0" fontId="4" fillId="0" borderId="0" xfId="0" applyFont="1" applyAlignment="1">
      <alignment vertical="center"/>
    </xf>
    <xf numFmtId="0" fontId="4" fillId="3" borderId="30" xfId="0" applyFont="1" applyFill="1" applyBorder="1" applyAlignment="1">
      <alignment horizontal="center"/>
    </xf>
    <xf numFmtId="0" fontId="4" fillId="0" borderId="1" xfId="0" applyFont="1" applyBorder="1" applyAlignment="1" applyProtection="1">
      <alignment horizontal="right" vertical="center"/>
      <protection hidden="1"/>
    </xf>
    <xf numFmtId="0" fontId="4" fillId="0" borderId="1" xfId="0" applyFont="1" applyBorder="1" applyAlignment="1">
      <alignment horizontal="center"/>
    </xf>
    <xf numFmtId="165" fontId="4" fillId="0" borderId="1" xfId="0" applyNumberFormat="1" applyFont="1" applyBorder="1" applyAlignment="1">
      <alignment horizontal="center"/>
    </xf>
    <xf numFmtId="0" fontId="4" fillId="6" borderId="30" xfId="0" applyFont="1" applyFill="1" applyBorder="1" applyAlignment="1">
      <alignment horizontal="center"/>
    </xf>
    <xf numFmtId="9" fontId="4" fillId="50" borderId="1" xfId="0" applyNumberFormat="1" applyFont="1" applyFill="1" applyBorder="1" applyProtection="1">
      <protection locked="0"/>
    </xf>
    <xf numFmtId="164" fontId="4" fillId="0" borderId="1" xfId="0" applyNumberFormat="1" applyFont="1" applyBorder="1" applyAlignment="1">
      <alignment horizontal="right"/>
    </xf>
    <xf numFmtId="0" fontId="4" fillId="2" borderId="30" xfId="0" applyFont="1" applyFill="1" applyBorder="1" applyAlignment="1">
      <alignment horizontal="center"/>
    </xf>
    <xf numFmtId="0" fontId="4" fillId="0" borderId="30" xfId="0" applyFont="1" applyBorder="1" applyAlignment="1">
      <alignment horizontal="center"/>
    </xf>
    <xf numFmtId="0" fontId="38" fillId="0" borderId="0" xfId="0" applyFont="1" applyAlignment="1">
      <alignment horizontal="center"/>
    </xf>
    <xf numFmtId="0" fontId="4" fillId="4" borderId="30" xfId="0" applyFont="1" applyFill="1" applyBorder="1" applyAlignment="1">
      <alignment horizontal="center"/>
    </xf>
    <xf numFmtId="165" fontId="4" fillId="0" borderId="0" xfId="0" applyNumberFormat="1" applyFont="1" applyAlignment="1">
      <alignment horizontal="right"/>
    </xf>
    <xf numFmtId="0" fontId="4" fillId="5" borderId="30" xfId="0" applyFont="1" applyFill="1" applyBorder="1" applyAlignment="1">
      <alignment horizontal="center"/>
    </xf>
    <xf numFmtId="0" fontId="38" fillId="0" borderId="4" xfId="0" applyFont="1" applyBorder="1"/>
    <xf numFmtId="9" fontId="4" fillId="0" borderId="1" xfId="40930" applyFont="1" applyBorder="1" applyProtection="1"/>
    <xf numFmtId="164" fontId="4" fillId="0" borderId="13" xfId="0" applyNumberFormat="1" applyFont="1" applyBorder="1" applyAlignment="1">
      <alignment horizontal="left"/>
    </xf>
    <xf numFmtId="0" fontId="38" fillId="10" borderId="4" xfId="0" applyFont="1" applyFill="1" applyBorder="1"/>
    <xf numFmtId="164" fontId="38" fillId="10" borderId="1" xfId="0" applyNumberFormat="1" applyFont="1" applyFill="1" applyBorder="1"/>
    <xf numFmtId="0" fontId="4" fillId="0" borderId="33" xfId="0" applyFont="1" applyBorder="1"/>
    <xf numFmtId="0" fontId="70" fillId="0" borderId="0" xfId="0" applyFont="1"/>
    <xf numFmtId="0" fontId="38" fillId="0" borderId="25" xfId="0" applyFont="1" applyBorder="1" applyAlignment="1">
      <alignment vertical="center"/>
    </xf>
    <xf numFmtId="0" fontId="4" fillId="0" borderId="26" xfId="0" applyFont="1" applyBorder="1"/>
    <xf numFmtId="0" fontId="39" fillId="0" borderId="0" xfId="0" applyFont="1"/>
    <xf numFmtId="0" fontId="4" fillId="10" borderId="0" xfId="0" applyFont="1" applyFill="1"/>
    <xf numFmtId="0" fontId="4" fillId="0" borderId="28" xfId="0" applyFont="1" applyBorder="1"/>
    <xf numFmtId="0" fontId="38" fillId="0" borderId="0" xfId="0" applyFont="1" applyAlignment="1">
      <alignment horizontal="left" vertical="top"/>
    </xf>
    <xf numFmtId="0" fontId="66" fillId="0" borderId="1" xfId="0" applyFont="1" applyBorder="1"/>
    <xf numFmtId="0" fontId="4" fillId="0" borderId="7" xfId="0" applyFont="1" applyBorder="1"/>
    <xf numFmtId="0" fontId="4" fillId="0" borderId="32" xfId="0" applyFont="1" applyBorder="1"/>
    <xf numFmtId="0" fontId="4" fillId="0" borderId="34" xfId="0" applyFont="1" applyBorder="1"/>
    <xf numFmtId="0" fontId="38" fillId="0" borderId="0" xfId="0" applyFont="1"/>
    <xf numFmtId="0" fontId="4" fillId="0" borderId="0" xfId="0" applyFont="1" applyAlignment="1">
      <alignment horizontal="right"/>
    </xf>
    <xf numFmtId="14" fontId="4" fillId="0" borderId="0" xfId="0" applyNumberFormat="1" applyFont="1"/>
    <xf numFmtId="2" fontId="4" fillId="0" borderId="0" xfId="0" applyNumberFormat="1" applyFont="1"/>
    <xf numFmtId="0" fontId="4" fillId="0" borderId="1" xfId="0" applyFont="1" applyBorder="1" applyAlignment="1">
      <alignment horizontal="right"/>
    </xf>
    <xf numFmtId="9" fontId="4" fillId="0" borderId="0" xfId="0" applyNumberFormat="1" applyFont="1"/>
    <xf numFmtId="2" fontId="4" fillId="0" borderId="1" xfId="0" applyNumberFormat="1" applyFont="1" applyBorder="1"/>
    <xf numFmtId="1" fontId="4" fillId="0" borderId="0" xfId="0" applyNumberFormat="1" applyFont="1"/>
    <xf numFmtId="2" fontId="4" fillId="0" borderId="8" xfId="0" applyNumberFormat="1" applyFont="1" applyBorder="1"/>
    <xf numFmtId="0" fontId="4" fillId="51" borderId="0" xfId="0" applyFont="1" applyFill="1"/>
    <xf numFmtId="0" fontId="77" fillId="0" borderId="1" xfId="0" applyFont="1" applyBorder="1"/>
    <xf numFmtId="0" fontId="38" fillId="0" borderId="1" xfId="0" applyFont="1" applyBorder="1"/>
    <xf numFmtId="0" fontId="77" fillId="0" borderId="5" xfId="0" applyFont="1" applyBorder="1" applyAlignment="1">
      <alignment horizontal="right" vertical="top"/>
    </xf>
    <xf numFmtId="0" fontId="38" fillId="0" borderId="5" xfId="0" applyFont="1" applyBorder="1" applyAlignment="1">
      <alignment horizontal="right" vertical="top"/>
    </xf>
    <xf numFmtId="9" fontId="4" fillId="0" borderId="36" xfId="0" applyNumberFormat="1" applyFont="1" applyBorder="1" applyAlignment="1">
      <alignment vertical="top" wrapText="1"/>
    </xf>
    <xf numFmtId="0" fontId="4" fillId="8" borderId="25" xfId="0" applyFont="1" applyFill="1" applyBorder="1"/>
    <xf numFmtId="164" fontId="77" fillId="0" borderId="37" xfId="0" applyNumberFormat="1" applyFont="1" applyBorder="1" applyAlignment="1">
      <alignment vertical="top" wrapText="1"/>
    </xf>
    <xf numFmtId="164" fontId="78" fillId="0" borderId="37" xfId="0" applyNumberFormat="1" applyFont="1" applyBorder="1" applyAlignment="1">
      <alignment vertical="top" wrapText="1"/>
    </xf>
    <xf numFmtId="164" fontId="4" fillId="0" borderId="38" xfId="0" applyNumberFormat="1" applyFont="1" applyBorder="1" applyAlignment="1">
      <alignment vertical="top" wrapText="1"/>
    </xf>
    <xf numFmtId="164" fontId="4" fillId="0" borderId="37" xfId="0" applyNumberFormat="1" applyFont="1" applyBorder="1" applyAlignment="1">
      <alignment vertical="top" wrapText="1"/>
    </xf>
    <xf numFmtId="9" fontId="4" fillId="0" borderId="39" xfId="0" applyNumberFormat="1" applyFont="1" applyBorder="1" applyAlignment="1">
      <alignment vertical="top" wrapText="1"/>
    </xf>
    <xf numFmtId="0" fontId="4" fillId="8" borderId="0" xfId="0" applyFont="1" applyFill="1"/>
    <xf numFmtId="164" fontId="4" fillId="0" borderId="30" xfId="0" applyNumberFormat="1" applyFont="1" applyBorder="1" applyAlignment="1">
      <alignment vertical="top" wrapText="1"/>
    </xf>
    <xf numFmtId="164" fontId="4" fillId="0" borderId="9" xfId="0" applyNumberFormat="1" applyFont="1" applyBorder="1" applyAlignment="1">
      <alignment vertical="top" wrapText="1"/>
    </xf>
    <xf numFmtId="9" fontId="4" fillId="0" borderId="40" xfId="0" applyNumberFormat="1" applyFont="1" applyBorder="1" applyAlignment="1">
      <alignment vertical="top" wrapText="1"/>
    </xf>
    <xf numFmtId="0" fontId="4" fillId="8" borderId="33" xfId="0" applyFont="1" applyFill="1" applyBorder="1"/>
    <xf numFmtId="164" fontId="4" fillId="0" borderId="43" xfId="0" applyNumberFormat="1" applyFont="1" applyBorder="1" applyAlignment="1">
      <alignment vertical="top" wrapText="1"/>
    </xf>
    <xf numFmtId="164" fontId="4" fillId="0" borderId="41" xfId="0" applyNumberFormat="1" applyFont="1" applyBorder="1" applyAlignment="1">
      <alignment vertical="top" wrapText="1"/>
    </xf>
    <xf numFmtId="9" fontId="4" fillId="0" borderId="9" xfId="0" applyNumberFormat="1" applyFont="1" applyBorder="1" applyAlignment="1">
      <alignment vertical="top" wrapText="1"/>
    </xf>
    <xf numFmtId="9" fontId="4" fillId="0" borderId="1" xfId="0" applyNumberFormat="1" applyFont="1" applyBorder="1" applyAlignment="1">
      <alignment vertical="top" wrapText="1"/>
    </xf>
    <xf numFmtId="166" fontId="4" fillId="0" borderId="0" xfId="0" applyNumberFormat="1" applyFont="1" applyAlignment="1">
      <alignment horizontal="left"/>
    </xf>
    <xf numFmtId="166" fontId="4" fillId="0" borderId="49" xfId="0" applyNumberFormat="1" applyFont="1" applyBorder="1" applyAlignment="1">
      <alignment horizontal="left"/>
    </xf>
    <xf numFmtId="0" fontId="4" fillId="0" borderId="0" xfId="0" applyFont="1" applyAlignment="1">
      <alignment wrapText="1"/>
    </xf>
    <xf numFmtId="0" fontId="4" fillId="0" borderId="1" xfId="503" applyFont="1" applyBorder="1" applyAlignment="1">
      <alignment vertical="top" wrapText="1"/>
    </xf>
    <xf numFmtId="164" fontId="4" fillId="0" borderId="1" xfId="503" applyNumberFormat="1" applyFont="1" applyBorder="1" applyAlignment="1">
      <alignment vertical="top"/>
    </xf>
    <xf numFmtId="0" fontId="4" fillId="0" borderId="1" xfId="503" applyFont="1" applyBorder="1" applyAlignment="1">
      <alignment horizontal="center" vertical="top" wrapText="1"/>
    </xf>
    <xf numFmtId="0" fontId="4" fillId="0" borderId="0" xfId="503" applyFont="1" applyAlignment="1">
      <alignment vertical="top"/>
    </xf>
    <xf numFmtId="166" fontId="76" fillId="0" borderId="0" xfId="40931" applyNumberFormat="1" applyFont="1" applyAlignment="1">
      <alignment horizontal="left" vertical="center"/>
    </xf>
    <xf numFmtId="0" fontId="79" fillId="0" borderId="0" xfId="0" applyFont="1"/>
    <xf numFmtId="0" fontId="80" fillId="0" borderId="0" xfId="0" applyFont="1" applyAlignment="1">
      <alignment vertical="center"/>
    </xf>
    <xf numFmtId="0" fontId="38" fillId="7" borderId="1" xfId="0" applyFont="1" applyFill="1" applyBorder="1" applyAlignment="1">
      <alignment vertical="top" wrapText="1"/>
    </xf>
    <xf numFmtId="0" fontId="38" fillId="7" borderId="1" xfId="0" applyFont="1" applyFill="1" applyBorder="1" applyAlignment="1">
      <alignment horizontal="right" vertical="top" wrapText="1"/>
    </xf>
    <xf numFmtId="9" fontId="38" fillId="7" borderId="1" xfId="0" applyNumberFormat="1" applyFont="1" applyFill="1" applyBorder="1" applyAlignment="1">
      <alignment horizontal="right" vertical="top" wrapText="1"/>
    </xf>
    <xf numFmtId="8" fontId="40" fillId="0" borderId="1" xfId="0" applyNumberFormat="1" applyFont="1" applyBorder="1" applyAlignment="1">
      <alignment horizontal="right"/>
    </xf>
    <xf numFmtId="9" fontId="38" fillId="7" borderId="1" xfId="0" applyNumberFormat="1" applyFont="1" applyFill="1" applyBorder="1" applyAlignment="1">
      <alignment vertical="top" wrapText="1"/>
    </xf>
    <xf numFmtId="8" fontId="40" fillId="7" borderId="1" xfId="0" applyNumberFormat="1" applyFont="1" applyFill="1" applyBorder="1" applyAlignment="1">
      <alignment horizontal="right"/>
    </xf>
    <xf numFmtId="164" fontId="4" fillId="0" borderId="1" xfId="0" applyNumberFormat="1" applyFont="1" applyBorder="1" applyAlignment="1">
      <alignment vertical="top" wrapText="1"/>
    </xf>
    <xf numFmtId="10" fontId="40" fillId="0" borderId="0" xfId="0" applyNumberFormat="1" applyFont="1" applyAlignment="1">
      <alignment vertical="center"/>
    </xf>
    <xf numFmtId="164" fontId="38" fillId="7" borderId="1" xfId="0" applyNumberFormat="1" applyFont="1" applyFill="1" applyBorder="1" applyAlignment="1">
      <alignment vertical="top" wrapText="1"/>
    </xf>
    <xf numFmtId="0" fontId="4" fillId="0" borderId="0" xfId="0" applyFont="1" applyAlignment="1">
      <alignment horizontal="left" vertical="center" indent="2"/>
    </xf>
    <xf numFmtId="0" fontId="4" fillId="0" borderId="28" xfId="0" applyFont="1" applyBorder="1" applyAlignment="1">
      <alignment horizontal="center" vertical="center" wrapText="1"/>
    </xf>
    <xf numFmtId="0" fontId="4" fillId="0" borderId="47" xfId="0" applyFont="1" applyBorder="1" applyAlignment="1">
      <alignment vertical="center"/>
    </xf>
    <xf numFmtId="0" fontId="4" fillId="0" borderId="28" xfId="0" applyFont="1" applyBorder="1" applyAlignment="1">
      <alignment vertical="center" wrapText="1"/>
    </xf>
    <xf numFmtId="0" fontId="4" fillId="0" borderId="46" xfId="0" applyFont="1" applyBorder="1" applyAlignment="1">
      <alignment vertical="center"/>
    </xf>
    <xf numFmtId="0" fontId="4" fillId="0" borderId="34" xfId="0" applyFont="1" applyBorder="1" applyAlignment="1">
      <alignment vertical="center" wrapText="1"/>
    </xf>
    <xf numFmtId="0" fontId="38" fillId="9" borderId="1" xfId="503" applyFont="1" applyFill="1" applyBorder="1" applyAlignment="1">
      <alignment horizontal="left" vertical="top" wrapText="1"/>
    </xf>
    <xf numFmtId="0" fontId="38" fillId="9" borderId="1" xfId="503" applyFont="1" applyFill="1" applyBorder="1" applyAlignment="1">
      <alignment horizontal="center" vertical="top" wrapText="1"/>
    </xf>
    <xf numFmtId="164" fontId="40" fillId="0" borderId="0" xfId="0" applyNumberFormat="1" applyFont="1" applyAlignment="1">
      <alignment vertical="top" wrapText="1"/>
    </xf>
    <xf numFmtId="44" fontId="40" fillId="0" borderId="0" xfId="0" applyNumberFormat="1" applyFont="1"/>
    <xf numFmtId="164" fontId="4" fillId="51" borderId="0" xfId="0" applyNumberFormat="1" applyFont="1" applyFill="1"/>
    <xf numFmtId="7" fontId="4" fillId="51" borderId="0" xfId="0" applyNumberFormat="1" applyFont="1" applyFill="1"/>
    <xf numFmtId="0" fontId="3" fillId="0" borderId="1" xfId="0" applyFont="1" applyBorder="1"/>
    <xf numFmtId="0" fontId="38" fillId="7" borderId="1" xfId="0" applyFont="1" applyFill="1" applyBorder="1" applyAlignment="1">
      <alignment horizontal="left" vertical="top" wrapText="1"/>
    </xf>
    <xf numFmtId="0" fontId="38" fillId="0" borderId="0" xfId="0" applyFont="1" applyAlignment="1">
      <alignment vertical="top" wrapText="1"/>
    </xf>
    <xf numFmtId="0" fontId="3" fillId="0" borderId="1" xfId="0" applyFont="1" applyBorder="1" applyAlignment="1">
      <alignment vertical="top" wrapText="1"/>
    </xf>
    <xf numFmtId="0" fontId="3" fillId="0" borderId="1" xfId="0" quotePrefix="1" applyFont="1" applyBorder="1" applyAlignment="1">
      <alignment vertical="top" wrapText="1"/>
    </xf>
    <xf numFmtId="0" fontId="3" fillId="0" borderId="0" xfId="0" applyFont="1" applyAlignment="1">
      <alignment vertical="top" wrapText="1"/>
    </xf>
    <xf numFmtId="0" fontId="3" fillId="0" borderId="9" xfId="0" applyFont="1" applyBorder="1" applyAlignment="1">
      <alignment vertical="top" wrapText="1"/>
    </xf>
    <xf numFmtId="0" fontId="3" fillId="0" borderId="9" xfId="0" applyFont="1" applyBorder="1" applyAlignment="1">
      <alignment horizontal="left" vertical="top" wrapText="1"/>
    </xf>
    <xf numFmtId="0" fontId="3" fillId="0" borderId="1" xfId="0" applyFont="1" applyBorder="1" applyAlignment="1">
      <alignment horizontal="left" vertical="top" wrapText="1"/>
    </xf>
    <xf numFmtId="0" fontId="38" fillId="7" borderId="1" xfId="0" applyFont="1" applyFill="1" applyBorder="1" applyAlignment="1">
      <alignment vertical="top"/>
    </xf>
    <xf numFmtId="0" fontId="38" fillId="7" borderId="1" xfId="0" applyFont="1" applyFill="1" applyBorder="1" applyAlignment="1">
      <alignment horizontal="left" vertical="top"/>
    </xf>
    <xf numFmtId="14" fontId="77" fillId="0" borderId="0" xfId="0" applyNumberFormat="1" applyFont="1"/>
    <xf numFmtId="164" fontId="77" fillId="0" borderId="0" xfId="0" applyNumberFormat="1" applyFont="1"/>
    <xf numFmtId="164" fontId="77" fillId="0" borderId="1" xfId="0" applyNumberFormat="1" applyFont="1" applyBorder="1" applyAlignment="1">
      <alignment vertical="top" wrapText="1"/>
    </xf>
    <xf numFmtId="164" fontId="77" fillId="0" borderId="42" xfId="0" applyNumberFormat="1" applyFont="1" applyBorder="1" applyAlignment="1">
      <alignment vertical="top" wrapText="1"/>
    </xf>
    <xf numFmtId="164" fontId="78" fillId="0" borderId="9" xfId="0" applyNumberFormat="1" applyFont="1" applyBorder="1" applyAlignment="1">
      <alignment vertical="top" wrapText="1"/>
    </xf>
    <xf numFmtId="164" fontId="78" fillId="0" borderId="41" xfId="0" applyNumberFormat="1" applyFont="1" applyBorder="1" applyAlignment="1">
      <alignment vertical="top" wrapText="1"/>
    </xf>
    <xf numFmtId="0" fontId="77" fillId="0" borderId="0" xfId="0" applyFont="1"/>
    <xf numFmtId="0" fontId="2" fillId="0" borderId="0" xfId="0" applyFont="1"/>
    <xf numFmtId="166" fontId="70" fillId="0" borderId="0" xfId="0" applyNumberFormat="1" applyFont="1" applyAlignment="1">
      <alignment horizontal="left"/>
    </xf>
    <xf numFmtId="0" fontId="38" fillId="0" borderId="2" xfId="0" applyFont="1" applyBorder="1" applyAlignment="1">
      <alignment horizontal="center"/>
    </xf>
    <xf numFmtId="0" fontId="38" fillId="0" borderId="3" xfId="0" applyFont="1" applyBorder="1" applyAlignment="1">
      <alignment horizontal="center"/>
    </xf>
    <xf numFmtId="0" fontId="82" fillId="0" borderId="2" xfId="0" applyFont="1" applyBorder="1" applyAlignment="1">
      <alignment horizontal="center"/>
    </xf>
    <xf numFmtId="0" fontId="82" fillId="0" borderId="4" xfId="0" applyFont="1" applyBorder="1" applyAlignment="1">
      <alignment horizontal="center"/>
    </xf>
    <xf numFmtId="0" fontId="82" fillId="0" borderId="29" xfId="0" applyFont="1" applyBorder="1" applyAlignment="1">
      <alignment horizontal="center"/>
    </xf>
    <xf numFmtId="14" fontId="74" fillId="0" borderId="0" xfId="0" applyNumberFormat="1" applyFont="1" applyAlignment="1">
      <alignment horizontal="center" vertical="center" wrapText="1"/>
    </xf>
    <xf numFmtId="0" fontId="71" fillId="0" borderId="0" xfId="0" applyFont="1" applyAlignment="1">
      <alignment horizontal="center" wrapText="1"/>
    </xf>
    <xf numFmtId="0" fontId="38" fillId="0" borderId="1" xfId="0" applyFont="1" applyBorder="1" applyAlignment="1">
      <alignment horizontal="center"/>
    </xf>
    <xf numFmtId="0" fontId="38" fillId="8" borderId="2" xfId="0" applyFont="1" applyFill="1" applyBorder="1" applyAlignment="1">
      <alignment horizontal="center"/>
    </xf>
    <xf numFmtId="0" fontId="38" fillId="8" borderId="3" xfId="0" applyFont="1" applyFill="1" applyBorder="1" applyAlignment="1">
      <alignment horizontal="center"/>
    </xf>
    <xf numFmtId="0" fontId="38" fillId="8" borderId="4" xfId="0" applyFont="1" applyFill="1" applyBorder="1" applyAlignment="1">
      <alignment horizontal="center"/>
    </xf>
    <xf numFmtId="0" fontId="38" fillId="8" borderId="29" xfId="0" applyFont="1" applyFill="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4" fillId="0" borderId="29" xfId="0" applyFont="1" applyBorder="1" applyAlignment="1">
      <alignment horizontal="center"/>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0" fontId="38" fillId="0" borderId="1" xfId="0" applyFont="1" applyBorder="1" applyAlignment="1">
      <alignment horizontal="right" vertical="center"/>
    </xf>
    <xf numFmtId="0" fontId="65" fillId="0" borderId="48" xfId="0" applyFont="1" applyBorder="1" applyAlignment="1">
      <alignment horizontal="center" vertical="center"/>
    </xf>
    <xf numFmtId="0" fontId="65" fillId="0" borderId="47" xfId="0" applyFont="1" applyBorder="1" applyAlignment="1">
      <alignment horizontal="center" vertical="center"/>
    </xf>
    <xf numFmtId="0" fontId="65" fillId="0" borderId="46" xfId="0" applyFont="1" applyBorder="1" applyAlignment="1">
      <alignment horizontal="center" vertical="center"/>
    </xf>
    <xf numFmtId="0" fontId="1" fillId="0" borderId="1" xfId="0" applyFont="1" applyBorder="1" applyAlignment="1">
      <alignment vertical="top" wrapText="1"/>
    </xf>
    <xf numFmtId="0" fontId="1" fillId="0" borderId="1" xfId="0" applyFont="1" applyBorder="1" applyAlignment="1">
      <alignment horizontal="left" vertical="top" wrapText="1"/>
    </xf>
  </cellXfs>
  <cellStyles count="40932">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27 3" xfId="40931" xr:uid="{201EC3E6-8D18-47B8-AE59-EE4481217F20}"/>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rgb="FFFF0000"/>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
      <fill>
        <patternFill>
          <bgColor rgb="FFFF0000"/>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105410</xdr:colOff>
      <xdr:row>5</xdr:row>
      <xdr:rowOff>153670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4</xdr:row>
      <xdr:rowOff>6671</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10</xdr:col>
      <xdr:colOff>1996776</xdr:colOff>
      <xdr:row>6</xdr:row>
      <xdr:rowOff>18460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348572</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58"/>
  <sheetViews>
    <sheetView showGridLines="0" workbookViewId="0">
      <pane ySplit="12" topLeftCell="A13" activePane="bottomLeft" state="frozen"/>
      <selection pane="bottomLeft" activeCell="A4" sqref="A4"/>
    </sheetView>
  </sheetViews>
  <sheetFormatPr defaultColWidth="8.77734375" defaultRowHeight="13.2" x14ac:dyDescent="0.25"/>
  <cols>
    <col min="1" max="1" width="3.5546875" style="40" customWidth="1"/>
    <col min="2" max="2" width="110.21875" style="40" customWidth="1"/>
    <col min="3" max="16384" width="8.77734375" style="40"/>
  </cols>
  <sheetData>
    <row r="1" spans="1:2" x14ac:dyDescent="0.25">
      <c r="A1" s="120" t="s">
        <v>0</v>
      </c>
    </row>
    <row r="3" spans="1:2" ht="15.6" x14ac:dyDescent="0.3">
      <c r="A3" s="15" t="s">
        <v>1</v>
      </c>
      <c r="B3" s="109"/>
    </row>
    <row r="4" spans="1:2" ht="15" x14ac:dyDescent="0.25">
      <c r="A4" s="109" t="s">
        <v>618</v>
      </c>
      <c r="B4" s="109"/>
    </row>
    <row r="5" spans="1:2" ht="15" x14ac:dyDescent="0.25">
      <c r="A5" s="200">
        <v>46051</v>
      </c>
      <c r="B5" s="200"/>
    </row>
    <row r="6" spans="1:2" x14ac:dyDescent="0.25">
      <c r="A6" s="150"/>
      <c r="B6" s="150"/>
    </row>
    <row r="7" spans="1:2" x14ac:dyDescent="0.25">
      <c r="A7" s="120" t="str">
        <f>"Let op. Dit bestand bevat tarieven van "&amp;YEAR(Lijsten!F2)&amp;". Vanaf 1 januari "&amp;YEAR(Lijsten!F2)+1&amp;" werkt"</f>
        <v>Let op. Dit bestand bevat tarieven van 2026. Vanaf 1 januari 2027 werkt</v>
      </c>
      <c r="B7" s="120"/>
    </row>
    <row r="8" spans="1:2" x14ac:dyDescent="0.25">
      <c r="A8" s="120" t="str">
        <f>"deze rekentool niet meer omdat dan de tarieven "&amp;YEAR(Lijsten!F2)+1&amp;" moeten worden ingelezen."</f>
        <v>deze rekentool niet meer omdat dan de tarieven 2027 moeten worden ingelezen.</v>
      </c>
      <c r="B8" s="120"/>
    </row>
    <row r="10" spans="1:2" x14ac:dyDescent="0.25">
      <c r="A10" s="40" t="s">
        <v>25</v>
      </c>
    </row>
    <row r="11" spans="1:2" x14ac:dyDescent="0.25">
      <c r="A11" s="40" t="s">
        <v>26</v>
      </c>
    </row>
    <row r="12" spans="1:2" ht="13.8" thickBot="1" x14ac:dyDescent="0.3">
      <c r="A12" s="151"/>
      <c r="B12" s="151"/>
    </row>
    <row r="13" spans="1:2" ht="13.8" thickTop="1" x14ac:dyDescent="0.25">
      <c r="A13" s="150"/>
      <c r="B13" s="150"/>
    </row>
    <row r="14" spans="1:2" s="120" customFormat="1" x14ac:dyDescent="0.25">
      <c r="A14" s="120" t="s">
        <v>619</v>
      </c>
      <c r="B14" s="2"/>
    </row>
    <row r="15" spans="1:2" s="120" customFormat="1" x14ac:dyDescent="0.25">
      <c r="A15" s="40">
        <v>27</v>
      </c>
      <c r="B15" s="2" t="s">
        <v>620</v>
      </c>
    </row>
    <row r="16" spans="1:2" s="120" customFormat="1" x14ac:dyDescent="0.25">
      <c r="A16" s="40"/>
      <c r="B16" s="2"/>
    </row>
    <row r="17" spans="1:2" s="120" customFormat="1" x14ac:dyDescent="0.25">
      <c r="A17" s="120" t="s">
        <v>584</v>
      </c>
      <c r="B17" s="2"/>
    </row>
    <row r="18" spans="1:2" s="120" customFormat="1" x14ac:dyDescent="0.25">
      <c r="A18" s="40">
        <v>25</v>
      </c>
      <c r="B18" s="2" t="s">
        <v>585</v>
      </c>
    </row>
    <row r="19" spans="1:2" s="120" customFormat="1" x14ac:dyDescent="0.25">
      <c r="A19" s="199">
        <v>26</v>
      </c>
      <c r="B19" s="2" t="s">
        <v>613</v>
      </c>
    </row>
    <row r="20" spans="1:2" s="120" customFormat="1" x14ac:dyDescent="0.25">
      <c r="A20" s="40"/>
      <c r="B20" s="2"/>
    </row>
    <row r="21" spans="1:2" s="120" customFormat="1" x14ac:dyDescent="0.25">
      <c r="A21" s="120" t="s">
        <v>276</v>
      </c>
      <c r="B21" s="2"/>
    </row>
    <row r="22" spans="1:2" s="120" customFormat="1" x14ac:dyDescent="0.25">
      <c r="A22" s="40">
        <v>18</v>
      </c>
      <c r="B22" s="2" t="s">
        <v>277</v>
      </c>
    </row>
    <row r="23" spans="1:2" s="120" customFormat="1" x14ac:dyDescent="0.25">
      <c r="A23" s="40">
        <v>19</v>
      </c>
      <c r="B23" s="2" t="s">
        <v>301</v>
      </c>
    </row>
    <row r="24" spans="1:2" s="120" customFormat="1" x14ac:dyDescent="0.25">
      <c r="A24" s="40">
        <v>20</v>
      </c>
      <c r="B24" s="2" t="s">
        <v>332</v>
      </c>
    </row>
    <row r="25" spans="1:2" s="120" customFormat="1" x14ac:dyDescent="0.25">
      <c r="A25" s="40">
        <v>21</v>
      </c>
      <c r="B25" s="2" t="s">
        <v>333</v>
      </c>
    </row>
    <row r="26" spans="1:2" s="120" customFormat="1" x14ac:dyDescent="0.25">
      <c r="A26" s="40">
        <v>22</v>
      </c>
      <c r="B26" s="2" t="s">
        <v>338</v>
      </c>
    </row>
    <row r="27" spans="1:2" s="120" customFormat="1" x14ac:dyDescent="0.25">
      <c r="A27" s="40">
        <v>23</v>
      </c>
      <c r="B27" s="2" t="s">
        <v>339</v>
      </c>
    </row>
    <row r="28" spans="1:2" s="120" customFormat="1" x14ac:dyDescent="0.25">
      <c r="A28" s="40">
        <v>24</v>
      </c>
      <c r="B28" s="2" t="s">
        <v>340</v>
      </c>
    </row>
    <row r="29" spans="1:2" s="120" customFormat="1" x14ac:dyDescent="0.25">
      <c r="A29" s="40"/>
      <c r="B29" s="40"/>
    </row>
    <row r="30" spans="1:2" s="120" customFormat="1" x14ac:dyDescent="0.25">
      <c r="A30" s="120" t="s">
        <v>23</v>
      </c>
      <c r="B30" s="2"/>
    </row>
    <row r="31" spans="1:2" s="120" customFormat="1" x14ac:dyDescent="0.25">
      <c r="A31" s="40">
        <v>17</v>
      </c>
      <c r="B31" s="2" t="s">
        <v>24</v>
      </c>
    </row>
    <row r="32" spans="1:2" s="120" customFormat="1" x14ac:dyDescent="0.25">
      <c r="A32" s="40"/>
      <c r="B32" s="40"/>
    </row>
    <row r="33" spans="1:2" s="120" customFormat="1" x14ac:dyDescent="0.25">
      <c r="A33" s="120" t="s">
        <v>21</v>
      </c>
      <c r="B33" s="152"/>
    </row>
    <row r="34" spans="1:2" s="120" customFormat="1" x14ac:dyDescent="0.25">
      <c r="A34" s="40">
        <v>16</v>
      </c>
      <c r="B34" s="2" t="s">
        <v>22</v>
      </c>
    </row>
    <row r="35" spans="1:2" s="120" customFormat="1" x14ac:dyDescent="0.25">
      <c r="A35" s="40"/>
      <c r="B35" s="2"/>
    </row>
    <row r="36" spans="1:2" s="120" customFormat="1" x14ac:dyDescent="0.25">
      <c r="A36" s="120" t="s">
        <v>17</v>
      </c>
    </row>
    <row r="37" spans="1:2" s="120" customFormat="1" x14ac:dyDescent="0.25">
      <c r="A37" s="40">
        <v>13</v>
      </c>
      <c r="B37" s="40" t="s">
        <v>18</v>
      </c>
    </row>
    <row r="38" spans="1:2" s="120" customFormat="1" x14ac:dyDescent="0.25">
      <c r="A38" s="40">
        <v>14</v>
      </c>
      <c r="B38" s="152" t="s">
        <v>19</v>
      </c>
    </row>
    <row r="39" spans="1:2" s="120" customFormat="1" x14ac:dyDescent="0.25">
      <c r="A39" s="40">
        <v>15</v>
      </c>
      <c r="B39" s="152" t="s">
        <v>20</v>
      </c>
    </row>
    <row r="41" spans="1:2" s="120" customFormat="1" x14ac:dyDescent="0.25">
      <c r="A41" s="120" t="s">
        <v>15</v>
      </c>
    </row>
    <row r="42" spans="1:2" s="120" customFormat="1" x14ac:dyDescent="0.25">
      <c r="A42" s="40">
        <v>12</v>
      </c>
      <c r="B42" s="40" t="s">
        <v>16</v>
      </c>
    </row>
    <row r="44" spans="1:2" s="120" customFormat="1" x14ac:dyDescent="0.25">
      <c r="A44" s="120" t="s">
        <v>11</v>
      </c>
    </row>
    <row r="45" spans="1:2" s="120" customFormat="1" x14ac:dyDescent="0.25">
      <c r="A45" s="40">
        <v>9</v>
      </c>
      <c r="B45" s="40" t="s">
        <v>12</v>
      </c>
    </row>
    <row r="46" spans="1:2" s="120" customFormat="1" x14ac:dyDescent="0.25">
      <c r="A46" s="40">
        <v>10</v>
      </c>
      <c r="B46" s="40" t="s">
        <v>13</v>
      </c>
    </row>
    <row r="47" spans="1:2" s="120" customFormat="1" x14ac:dyDescent="0.25">
      <c r="A47" s="40">
        <v>11</v>
      </c>
      <c r="B47" s="40" t="s">
        <v>14</v>
      </c>
    </row>
    <row r="49" spans="1:2" x14ac:dyDescent="0.25">
      <c r="A49" s="120" t="s">
        <v>2</v>
      </c>
    </row>
    <row r="50" spans="1:2" x14ac:dyDescent="0.25">
      <c r="A50" s="40">
        <v>1</v>
      </c>
      <c r="B50" s="40" t="s">
        <v>3</v>
      </c>
    </row>
    <row r="51" spans="1:2" x14ac:dyDescent="0.25">
      <c r="A51" s="40">
        <v>2</v>
      </c>
      <c r="B51" s="40" t="s">
        <v>4</v>
      </c>
    </row>
    <row r="52" spans="1:2" x14ac:dyDescent="0.25">
      <c r="A52" s="40">
        <v>3</v>
      </c>
      <c r="B52" s="40" t="s">
        <v>5</v>
      </c>
    </row>
    <row r="53" spans="1:2" x14ac:dyDescent="0.25">
      <c r="A53" s="40">
        <v>4</v>
      </c>
      <c r="B53" s="40" t="s">
        <v>6</v>
      </c>
    </row>
    <row r="54" spans="1:2" x14ac:dyDescent="0.25">
      <c r="A54" s="40">
        <v>5</v>
      </c>
      <c r="B54" s="40" t="s">
        <v>7</v>
      </c>
    </row>
    <row r="55" spans="1:2" x14ac:dyDescent="0.25">
      <c r="A55" s="40">
        <v>6</v>
      </c>
      <c r="B55" s="40" t="s">
        <v>8</v>
      </c>
    </row>
    <row r="56" spans="1:2" x14ac:dyDescent="0.25">
      <c r="A56" s="40">
        <v>7</v>
      </c>
      <c r="B56" s="40" t="s">
        <v>9</v>
      </c>
    </row>
    <row r="57" spans="1:2" x14ac:dyDescent="0.25">
      <c r="A57" s="40">
        <v>8</v>
      </c>
      <c r="B57" s="40" t="s">
        <v>10</v>
      </c>
    </row>
    <row r="58" spans="1:2" s="120" customFormat="1" x14ac:dyDescent="0.25">
      <c r="A58" s="40"/>
      <c r="B58" s="2"/>
    </row>
  </sheetData>
  <sheetProtection algorithmName="SHA-512" hashValue="rlw7NgliH42YhgcWpMWT4otbdFbV7zWgkJG3bG3gGuwgX3xrrOx5bz3yKqCORQ6CsDdSBaR0ojZRGeDPSsfbIg==" saltValue="KH4+olUy9H6zXUg09I9kwA=="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showGridLines="0" zoomScale="115" zoomScaleNormal="115" workbookViewId="0">
      <pane ySplit="3" topLeftCell="A4" activePane="bottomLeft" state="frozen"/>
      <selection pane="bottomLeft" activeCell="A28" sqref="A28"/>
    </sheetView>
  </sheetViews>
  <sheetFormatPr defaultColWidth="9.21875" defaultRowHeight="13.2" x14ac:dyDescent="0.3"/>
  <cols>
    <col min="1" max="1" width="5.44140625" style="20" customWidth="1"/>
    <col min="2" max="2" width="38.77734375" style="20" bestFit="1" customWidth="1"/>
    <col min="3" max="3" width="64.44140625" style="20" customWidth="1"/>
    <col min="4" max="4" width="84.44140625" style="20" customWidth="1"/>
    <col min="5" max="16384" width="9.21875" style="20"/>
  </cols>
  <sheetData>
    <row r="1" spans="1:4" ht="15.6" x14ac:dyDescent="0.3">
      <c r="A1" s="18" t="s">
        <v>27</v>
      </c>
    </row>
    <row r="2" spans="1:4" x14ac:dyDescent="0.3">
      <c r="A2" s="19"/>
    </row>
    <row r="3" spans="1:4" x14ac:dyDescent="0.3">
      <c r="A3" s="19"/>
    </row>
    <row r="4" spans="1:4" x14ac:dyDescent="0.3">
      <c r="A4" s="21" t="s">
        <v>28</v>
      </c>
      <c r="B4" s="22"/>
      <c r="C4" s="22"/>
      <c r="D4" s="23"/>
    </row>
    <row r="5" spans="1:4" ht="66" x14ac:dyDescent="0.3">
      <c r="A5" s="24"/>
      <c r="B5" s="25" t="s">
        <v>29</v>
      </c>
      <c r="C5" s="26" t="s">
        <v>30</v>
      </c>
      <c r="D5" s="27"/>
    </row>
    <row r="6" spans="1:4" ht="92.4" x14ac:dyDescent="0.3">
      <c r="A6" s="24"/>
      <c r="B6" s="25" t="s">
        <v>31</v>
      </c>
      <c r="C6" s="26" t="s">
        <v>32</v>
      </c>
      <c r="D6" s="27"/>
    </row>
    <row r="7" spans="1:4" x14ac:dyDescent="0.3">
      <c r="A7" s="24"/>
      <c r="B7" s="25" t="s">
        <v>33</v>
      </c>
      <c r="C7" s="26" t="s">
        <v>34</v>
      </c>
      <c r="D7" s="27"/>
    </row>
    <row r="8" spans="1:4" ht="26.4" x14ac:dyDescent="0.3">
      <c r="A8" s="24"/>
      <c r="B8" s="25" t="s">
        <v>35</v>
      </c>
      <c r="C8" s="26" t="s">
        <v>36</v>
      </c>
      <c r="D8" s="27"/>
    </row>
    <row r="9" spans="1:4" ht="26.4" x14ac:dyDescent="0.3">
      <c r="A9" s="24"/>
      <c r="B9" s="25" t="s">
        <v>37</v>
      </c>
      <c r="C9" s="26" t="s">
        <v>38</v>
      </c>
      <c r="D9" s="27"/>
    </row>
    <row r="10" spans="1:4" ht="26.4" x14ac:dyDescent="0.3">
      <c r="A10" s="28"/>
      <c r="B10" s="25" t="s">
        <v>39</v>
      </c>
      <c r="C10" s="26" t="s">
        <v>40</v>
      </c>
      <c r="D10" s="29"/>
    </row>
    <row r="11" spans="1:4" s="30" customFormat="1" x14ac:dyDescent="0.3"/>
    <row r="12" spans="1:4" s="30" customFormat="1" x14ac:dyDescent="0.3">
      <c r="A12" s="21" t="s">
        <v>41</v>
      </c>
      <c r="B12" s="31"/>
      <c r="C12" s="32" t="s">
        <v>42</v>
      </c>
      <c r="D12" s="33" t="s">
        <v>43</v>
      </c>
    </row>
    <row r="13" spans="1:4" s="30" customFormat="1" x14ac:dyDescent="0.3">
      <c r="A13" s="34">
        <v>1</v>
      </c>
      <c r="B13" s="34" t="s">
        <v>44</v>
      </c>
      <c r="C13" s="35" t="s">
        <v>45</v>
      </c>
      <c r="D13" s="26"/>
    </row>
    <row r="14" spans="1:4" s="30" customFormat="1" x14ac:dyDescent="0.3">
      <c r="A14" s="34">
        <v>2</v>
      </c>
      <c r="B14" s="34" t="s">
        <v>46</v>
      </c>
      <c r="C14" s="26" t="s">
        <v>47</v>
      </c>
      <c r="D14" s="26"/>
    </row>
    <row r="15" spans="1:4" s="30" customFormat="1" x14ac:dyDescent="0.3">
      <c r="A15" s="34">
        <v>3</v>
      </c>
      <c r="B15" s="34" t="s">
        <v>48</v>
      </c>
      <c r="C15" s="26" t="s">
        <v>49</v>
      </c>
      <c r="D15" s="26"/>
    </row>
    <row r="16" spans="1:4" s="30" customFormat="1" x14ac:dyDescent="0.3">
      <c r="A16" s="34">
        <v>4</v>
      </c>
      <c r="B16" s="34" t="s">
        <v>50</v>
      </c>
      <c r="C16" s="26" t="s">
        <v>51</v>
      </c>
      <c r="D16" s="26"/>
    </row>
    <row r="17" spans="1:4" s="30" customFormat="1" ht="26.4" x14ac:dyDescent="0.3">
      <c r="A17" s="34">
        <v>5</v>
      </c>
      <c r="B17" s="34" t="s">
        <v>52</v>
      </c>
      <c r="C17" s="26" t="s">
        <v>53</v>
      </c>
      <c r="D17" s="26"/>
    </row>
    <row r="18" spans="1:4" s="30" customFormat="1" x14ac:dyDescent="0.3">
      <c r="A18" s="34">
        <v>6</v>
      </c>
      <c r="B18" s="34" t="s">
        <v>83</v>
      </c>
      <c r="C18" s="26" t="s">
        <v>54</v>
      </c>
      <c r="D18" s="26"/>
    </row>
    <row r="19" spans="1:4" s="30" customFormat="1" ht="198" x14ac:dyDescent="0.3">
      <c r="A19" s="34">
        <v>7</v>
      </c>
      <c r="B19" s="34" t="s">
        <v>55</v>
      </c>
      <c r="C19" s="26" t="s">
        <v>488</v>
      </c>
      <c r="D19" s="26" t="s">
        <v>56</v>
      </c>
    </row>
    <row r="20" spans="1:4" s="30" customFormat="1" ht="145.19999999999999" x14ac:dyDescent="0.3">
      <c r="A20" s="34">
        <v>8</v>
      </c>
      <c r="B20" s="34" t="s">
        <v>57</v>
      </c>
      <c r="C20" s="35" t="s">
        <v>58</v>
      </c>
      <c r="D20" s="26" t="s">
        <v>59</v>
      </c>
    </row>
    <row r="21" spans="1:4" s="30" customFormat="1" x14ac:dyDescent="0.3">
      <c r="A21" s="34">
        <v>9</v>
      </c>
      <c r="B21" s="34" t="s">
        <v>88</v>
      </c>
      <c r="C21" s="26" t="s">
        <v>54</v>
      </c>
      <c r="D21" s="26"/>
    </row>
    <row r="22" spans="1:4" s="30" customFormat="1" ht="26.4" x14ac:dyDescent="0.3">
      <c r="A22" s="34">
        <v>10</v>
      </c>
      <c r="B22" s="34" t="s">
        <v>60</v>
      </c>
      <c r="C22" s="26" t="s">
        <v>61</v>
      </c>
      <c r="D22" s="36" t="s">
        <v>62</v>
      </c>
    </row>
    <row r="23" spans="1:4" s="30" customFormat="1" ht="66" x14ac:dyDescent="0.3">
      <c r="A23" s="34">
        <v>11</v>
      </c>
      <c r="B23" s="34" t="s">
        <v>63</v>
      </c>
      <c r="C23" s="26" t="s">
        <v>319</v>
      </c>
      <c r="D23" s="26" t="s">
        <v>64</v>
      </c>
    </row>
    <row r="24" spans="1:4" s="30" customFormat="1" ht="52.8" x14ac:dyDescent="0.3">
      <c r="A24" s="34">
        <v>12</v>
      </c>
      <c r="B24" s="34" t="s">
        <v>65</v>
      </c>
      <c r="C24" s="26" t="s">
        <v>66</v>
      </c>
      <c r="D24" s="26"/>
    </row>
    <row r="25" spans="1:4" s="30" customFormat="1" ht="39.6" x14ac:dyDescent="0.3">
      <c r="A25" s="37" t="s">
        <v>288</v>
      </c>
      <c r="B25" s="26" t="s">
        <v>67</v>
      </c>
      <c r="C25" s="26" t="s">
        <v>289</v>
      </c>
      <c r="D25" s="26"/>
    </row>
    <row r="26" spans="1:4" s="30" customFormat="1" x14ac:dyDescent="0.3">
      <c r="A26" s="26">
        <v>21</v>
      </c>
      <c r="B26" s="26" t="s">
        <v>68</v>
      </c>
      <c r="C26" s="26" t="s">
        <v>69</v>
      </c>
      <c r="D26" s="26"/>
    </row>
    <row r="27" spans="1:4" s="30" customFormat="1" ht="26.4" x14ac:dyDescent="0.3">
      <c r="A27" s="26">
        <v>22</v>
      </c>
      <c r="B27" s="26" t="s">
        <v>70</v>
      </c>
      <c r="C27" s="26" t="s">
        <v>71</v>
      </c>
      <c r="D27" s="26"/>
    </row>
    <row r="28" spans="1:4" s="30" customFormat="1" x14ac:dyDescent="0.3"/>
    <row r="29" spans="1:4" s="30" customFormat="1" x14ac:dyDescent="0.3"/>
  </sheetData>
  <sheetProtection algorithmName="SHA-512" hashValue="0Uh+Waj/iA4+MYeELpbK3n+0mXhQK3AKMC3InSgUORh2tpPgwKac34XDVInEzxRk5EinTEdyuQss1jQv8/YKxw==" saltValue="BqNaOKkxBDfrn5k/pP8mow=="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tabColor rgb="FF0070C0"/>
    <pageSetUpPr fitToPage="1"/>
  </sheetPr>
  <dimension ref="A1:K40"/>
  <sheetViews>
    <sheetView showGridLines="0" showZeros="0" tabSelected="1" zoomScaleNormal="100" workbookViewId="0">
      <pane ySplit="4" topLeftCell="A7" activePane="bottomLeft" state="frozen"/>
      <selection pane="bottomLeft" activeCell="E21" sqref="E21"/>
    </sheetView>
  </sheetViews>
  <sheetFormatPr defaultColWidth="8.77734375" defaultRowHeight="13.2" x14ac:dyDescent="0.25"/>
  <cols>
    <col min="1" max="1" width="1.77734375" style="40" customWidth="1"/>
    <col min="2" max="2" width="5.44140625" style="40" customWidth="1"/>
    <col min="3" max="3" width="63" style="40" customWidth="1"/>
    <col min="4" max="4" width="39.44140625" style="40" customWidth="1"/>
    <col min="5" max="5" width="22.5546875" style="40" bestFit="1" customWidth="1"/>
    <col min="6" max="6" width="14.5546875" style="40" customWidth="1"/>
    <col min="7" max="7" width="2.44140625" style="40" customWidth="1"/>
    <col min="8" max="8" width="3.5546875" style="40" customWidth="1"/>
    <col min="9" max="9" width="27.6640625" style="40" customWidth="1"/>
    <col min="10" max="10" width="8.88671875" style="40" customWidth="1"/>
    <col min="11" max="11" width="31.44140625" style="40" customWidth="1"/>
    <col min="12" max="12" width="3.21875" style="40" customWidth="1"/>
    <col min="13" max="13" width="3.5546875" style="40" customWidth="1"/>
    <col min="14" max="14" width="13.5546875" style="40" customWidth="1"/>
    <col min="15" max="16384" width="8.77734375" style="40"/>
  </cols>
  <sheetData>
    <row r="1" spans="1:11" ht="20.25" customHeight="1" x14ac:dyDescent="0.25">
      <c r="A1" s="38" t="str">
        <f>"Rekenhulp ambulant budget "&amp;YEAR(Lijsten!F2)</f>
        <v>Rekenhulp ambulant budget 2026</v>
      </c>
      <c r="B1" s="39"/>
      <c r="C1" s="39"/>
      <c r="D1" s="39"/>
      <c r="E1" s="110"/>
      <c r="F1" s="39"/>
      <c r="G1" s="110"/>
      <c r="H1" s="110"/>
      <c r="I1" s="110"/>
      <c r="J1" s="110"/>
      <c r="K1" s="111"/>
    </row>
    <row r="2" spans="1:11" ht="14.55" customHeight="1" x14ac:dyDescent="0.25">
      <c r="A2" s="82"/>
      <c r="B2" s="112" t="s">
        <v>72</v>
      </c>
      <c r="C2" s="113"/>
      <c r="D2" s="206">
        <f ca="1">IF(TODAY()&gt;Lijsten!$F$2,"Deze rekentool is niet meer geldig omdat de tarieven verouderd zijn. Op de website van RSJ IJsselland staat de nieuwe versie.",IF(TODAY()&gt;Lijsten!$F$2-30,"Let op: de tarieven 2026 gelden nog "&amp;Lijsten!F2-TODAY()&amp;" dagen. Daarna werkt deze rekentool niet meer. Mail Inkoop (inkoop@rsj-ijsselland.nl) om de tarieven "&amp;YEAR(Lijsten!F2)+1&amp;" in te voeren.",))</f>
        <v>0</v>
      </c>
      <c r="E2" s="206"/>
      <c r="F2" s="206"/>
      <c r="K2" s="114"/>
    </row>
    <row r="3" spans="1:11" ht="14.55" customHeight="1" x14ac:dyDescent="0.25">
      <c r="A3" s="82"/>
      <c r="D3" s="206"/>
      <c r="E3" s="206"/>
      <c r="F3" s="206"/>
      <c r="K3" s="114"/>
    </row>
    <row r="4" spans="1:11" ht="14.55" customHeight="1" x14ac:dyDescent="0.25">
      <c r="A4" s="82"/>
      <c r="D4" s="206"/>
      <c r="E4" s="206"/>
      <c r="F4" s="206"/>
      <c r="K4" s="114"/>
    </row>
    <row r="5" spans="1:11" ht="14.55" hidden="1" customHeight="1" x14ac:dyDescent="0.25">
      <c r="A5" s="82"/>
      <c r="E5" s="115"/>
      <c r="K5" s="114"/>
    </row>
    <row r="6" spans="1:11" hidden="1" x14ac:dyDescent="0.25">
      <c r="A6" s="82"/>
      <c r="E6" s="207" t="str">
        <f>IF(AND(B2="Duurzaam",OR(AND(D16&lt;&gt;1,D16&lt;&gt;""),AND(D20&lt;&gt;1,D20&lt;&gt;""))),"Let op: geldigheid toewijzingen Duurzaam is altijd 1 jaar!","")</f>
        <v/>
      </c>
      <c r="F6" s="207"/>
      <c r="K6" s="114"/>
    </row>
    <row r="7" spans="1:11" ht="14.55" customHeight="1" x14ac:dyDescent="0.25">
      <c r="A7" s="82"/>
      <c r="D7" s="41" t="s">
        <v>73</v>
      </c>
      <c r="E7" s="207"/>
      <c r="F7" s="207"/>
      <c r="K7" s="114"/>
    </row>
    <row r="8" spans="1:11" x14ac:dyDescent="0.25">
      <c r="A8" s="82"/>
      <c r="B8" s="42">
        <v>1</v>
      </c>
      <c r="C8" s="43" t="s">
        <v>44</v>
      </c>
      <c r="D8" s="44"/>
      <c r="H8" s="209" t="str">
        <f>"Resultaattabel"</f>
        <v>Resultaattabel</v>
      </c>
      <c r="I8" s="211"/>
      <c r="J8" s="211"/>
      <c r="K8" s="212"/>
    </row>
    <row r="9" spans="1:11" x14ac:dyDescent="0.25">
      <c r="A9" s="82"/>
      <c r="B9" s="42">
        <v>2</v>
      </c>
      <c r="C9" s="43" t="s">
        <v>46</v>
      </c>
      <c r="D9" s="44"/>
      <c r="H9" s="213" t="str">
        <f>"Gegevens voor cliënt: "&amp;D10</f>
        <v xml:space="preserve">Gegevens voor cliënt: </v>
      </c>
      <c r="I9" s="214"/>
      <c r="J9" s="214"/>
      <c r="K9" s="215"/>
    </row>
    <row r="10" spans="1:11" ht="14.55" customHeight="1" x14ac:dyDescent="0.25">
      <c r="A10" s="82"/>
      <c r="B10" s="42">
        <v>3</v>
      </c>
      <c r="C10" s="45" t="s">
        <v>48</v>
      </c>
      <c r="D10" s="46"/>
      <c r="E10" s="40" t="s">
        <v>74</v>
      </c>
      <c r="G10" s="47"/>
      <c r="H10" s="216" t="str">
        <f>"Groepsaanbod dagen per "&amp;F14</f>
        <v xml:space="preserve">Groepsaanbod dagen per </v>
      </c>
      <c r="I10" s="217"/>
      <c r="J10" s="218"/>
      <c r="K10" s="48">
        <f>D14</f>
        <v>0</v>
      </c>
    </row>
    <row r="11" spans="1:11" x14ac:dyDescent="0.25">
      <c r="A11" s="82"/>
      <c r="H11" s="216" t="str">
        <f>"Uren groepsaanbod per "&amp;F14</f>
        <v xml:space="preserve">Uren groepsaanbod per </v>
      </c>
      <c r="I11" s="217"/>
      <c r="J11" s="218"/>
      <c r="K11" s="49">
        <f>IF($D$8="Nee","nvt (toewijzing zonder groepsaanbod)",IF(COUNTA(D14:D15)=2,D14*D15,))</f>
        <v>0</v>
      </c>
    </row>
    <row r="12" spans="1:11" x14ac:dyDescent="0.25">
      <c r="A12" s="82"/>
      <c r="B12" s="42"/>
      <c r="C12" s="50" t="s">
        <v>75</v>
      </c>
      <c r="D12" s="116" t="s">
        <v>588</v>
      </c>
      <c r="E12" s="208" t="s">
        <v>76</v>
      </c>
      <c r="F12" s="208"/>
      <c r="H12" s="216" t="str">
        <f>"Duur toewijzing ("&amp;E16&amp;")"</f>
        <v>Duur toewijzing ()</v>
      </c>
      <c r="I12" s="217"/>
      <c r="J12" s="218"/>
      <c r="K12" s="51">
        <f>D16</f>
        <v>0</v>
      </c>
    </row>
    <row r="13" spans="1:11" x14ac:dyDescent="0.25">
      <c r="A13" s="82"/>
      <c r="B13" s="52"/>
      <c r="C13" s="53" t="s">
        <v>77</v>
      </c>
      <c r="D13" s="54"/>
      <c r="E13" s="209"/>
      <c r="F13" s="210"/>
      <c r="H13" s="216" t="s">
        <v>78</v>
      </c>
      <c r="I13" s="217"/>
      <c r="J13" s="218"/>
      <c r="K13" s="55">
        <f>IFERROR(IF(ISNUMBER(K11),IF(F14=Lijsten!$K$24,K11,K11*D16*INDEX(vannaar,MATCH(F14,vannaara,0),MATCH(E16,vannaar1,0))),""),)</f>
        <v>0</v>
      </c>
    </row>
    <row r="14" spans="1:11" x14ac:dyDescent="0.25">
      <c r="A14" s="82"/>
      <c r="B14" s="42">
        <v>4</v>
      </c>
      <c r="C14" s="56" t="s">
        <v>586</v>
      </c>
      <c r="D14" s="57"/>
      <c r="E14" s="58" t="str">
        <f>IF(D14=1,"dag per","dagen per")</f>
        <v>dagen per</v>
      </c>
      <c r="F14" s="59"/>
      <c r="H14" s="216" t="s">
        <v>80</v>
      </c>
      <c r="I14" s="217"/>
      <c r="J14" s="218"/>
      <c r="K14" s="60" t="str">
        <f>IF(D17&lt;&gt;"",RIGHT(D17,LEN(D17)),"")</f>
        <v/>
      </c>
    </row>
    <row r="15" spans="1:11" x14ac:dyDescent="0.25">
      <c r="A15" s="82"/>
      <c r="B15" s="42">
        <v>5</v>
      </c>
      <c r="C15" s="56" t="s">
        <v>587</v>
      </c>
      <c r="D15" s="61"/>
      <c r="E15" s="58" t="s">
        <v>81</v>
      </c>
      <c r="H15" s="216" t="s">
        <v>82</v>
      </c>
      <c r="I15" s="217"/>
      <c r="J15" s="217"/>
      <c r="K15" s="62" t="str">
        <f>IF($D$8="Nee","nvt (toewijzing zonder groepsaanbod)",IFERROR(INDEX(Lijsten!$E$3:$F$8,MATCH(D17,duurzaam,0),2),""))</f>
        <v/>
      </c>
    </row>
    <row r="16" spans="1:11" x14ac:dyDescent="0.25">
      <c r="A16" s="82"/>
      <c r="B16" s="42">
        <v>6</v>
      </c>
      <c r="C16" s="56" t="s">
        <v>83</v>
      </c>
      <c r="D16" s="61"/>
      <c r="E16" s="59"/>
      <c r="G16" s="63"/>
      <c r="H16" s="64" t="s">
        <v>292</v>
      </c>
      <c r="I16" s="65"/>
      <c r="J16" s="66"/>
      <c r="K16" s="67">
        <f>IF($D$8="Nee","nvt (toewijzing zonder groepsaanbod)",IF(AND(ISNUMBER(K11),ISNUMBER(D16),ISNUMBER(K15)),IF(F14=Lijsten!K24,K11*K15,D16*K11*K15*INDEX(vannaar,MATCH(F14,vannaara,0),MATCH(E16,vannaar1,0))),))</f>
        <v>0</v>
      </c>
    </row>
    <row r="17" spans="1:11" x14ac:dyDescent="0.25">
      <c r="A17" s="82"/>
      <c r="B17" s="42">
        <v>7</v>
      </c>
      <c r="C17" s="56" t="str">
        <f>IF(AND(D17=Lijsten!$E$6,'Rekenhulp ambulant budget'!B2="duurzaam"),"Intensiteit groepsaanbod ('zwaar' alleen bij KDC's!!)","Intensiteit groepsaanbod")</f>
        <v>Intensiteit groepsaanbod</v>
      </c>
      <c r="D17" s="68"/>
      <c r="F17" s="63"/>
      <c r="G17" s="63"/>
      <c r="H17" s="69" t="str">
        <f>IFERROR(REPLACE(LEFT(E19,LEN(E19)-4),1,1,UPPER(LEFT(E19,1)))&amp;" ambulante jeugdhulp per "&amp;F19,"")</f>
        <v xml:space="preserve">Uren ambulante jeugdhulp per </v>
      </c>
      <c r="I17" s="70"/>
      <c r="J17" s="71"/>
      <c r="K17" s="48">
        <f>D19</f>
        <v>0</v>
      </c>
    </row>
    <row r="18" spans="1:11" x14ac:dyDescent="0.25">
      <c r="A18" s="82"/>
      <c r="B18" s="52"/>
      <c r="C18" s="54" t="s">
        <v>86</v>
      </c>
      <c r="D18" s="54"/>
      <c r="E18" s="63"/>
      <c r="F18" s="63"/>
      <c r="G18" s="63"/>
      <c r="H18" s="69" t="str">
        <f>"Duur toewijzing ("&amp;E20&amp;")"</f>
        <v>Duur toewijzing ()</v>
      </c>
      <c r="I18" s="70"/>
      <c r="J18" s="71"/>
      <c r="K18" s="51">
        <f>D20</f>
        <v>0</v>
      </c>
    </row>
    <row r="19" spans="1:11" x14ac:dyDescent="0.25">
      <c r="A19" s="82"/>
      <c r="B19" s="42">
        <v>8</v>
      </c>
      <c r="C19" s="56" t="s">
        <v>57</v>
      </c>
      <c r="D19" s="61"/>
      <c r="E19" s="61" t="s">
        <v>87</v>
      </c>
      <c r="F19" s="61"/>
      <c r="G19" s="72"/>
      <c r="H19" s="69" t="str">
        <f>IFERROR(REPLACE(LEFT(E19,LEN(E19)-4),1,1,UPPER(LEFT(E19,1)))&amp;" beschikking ambulante jeugdhulp","Totaal beschikking ambulant")</f>
        <v>Uren beschikking ambulante jeugdhulp</v>
      </c>
      <c r="I19" s="70"/>
      <c r="J19" s="71"/>
      <c r="K19" s="55">
        <f>ROUNDDOWN(IF(COUNTA(B2,D19,D20,D21,E19,F19,E20)=7,IF(F19=Lijsten!K24,D19,D19*D20*INDEX(vannaar,MATCH(F19,vannaara,0),MATCH(E20,vannaar1,0))),),0)</f>
        <v>0</v>
      </c>
    </row>
    <row r="20" spans="1:11" x14ac:dyDescent="0.25">
      <c r="A20" s="82"/>
      <c r="B20" s="42">
        <v>9</v>
      </c>
      <c r="C20" s="56" t="s">
        <v>88</v>
      </c>
      <c r="D20" s="61"/>
      <c r="E20" s="73"/>
      <c r="H20" s="69" t="s">
        <v>90</v>
      </c>
      <c r="I20" s="70"/>
      <c r="J20" s="71"/>
      <c r="K20" s="62" t="str">
        <f>IF(D23=0,D22,D23)</f>
        <v/>
      </c>
    </row>
    <row r="21" spans="1:11" x14ac:dyDescent="0.25">
      <c r="A21" s="82"/>
      <c r="B21" s="42">
        <v>10</v>
      </c>
      <c r="C21" s="56" t="s">
        <v>60</v>
      </c>
      <c r="D21" s="74"/>
      <c r="E21" s="75"/>
      <c r="F21" s="75"/>
      <c r="H21" s="64" t="s">
        <v>293</v>
      </c>
      <c r="I21" s="65"/>
      <c r="J21" s="66"/>
      <c r="K21" s="76">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x14ac:dyDescent="0.25">
      <c r="A22" s="82"/>
      <c r="B22" s="42">
        <v>11</v>
      </c>
      <c r="C22" s="77" t="s">
        <v>63</v>
      </c>
      <c r="D22" s="78" t="str">
        <f>IF($D$9="Nee",
   "nvt (toewijzing zonder ambulante jeugdhulp)",
   IFERROR(
       INDEX(Lijsten!$B$3:$B$7, MATCH(D21, Perceel, 0)) / IF(E19=Lijsten!J3, 1, 1),
       ""
   )
)</f>
        <v/>
      </c>
      <c r="H22" s="79" t="s">
        <v>291</v>
      </c>
      <c r="I22" s="80"/>
      <c r="J22" s="80"/>
      <c r="K22" s="81">
        <f>IF(ISNUMBER(K16), K16, 0) + IF(ISNUMBER(K21), K21, 0)</f>
        <v>0</v>
      </c>
    </row>
    <row r="23" spans="1:11" x14ac:dyDescent="0.25">
      <c r="A23" s="82"/>
      <c r="B23" s="42">
        <v>12</v>
      </c>
      <c r="C23" s="181" t="s">
        <v>600</v>
      </c>
      <c r="D23" s="83">
        <f>D36</f>
        <v>0</v>
      </c>
      <c r="E23" s="40" t="s">
        <v>74</v>
      </c>
      <c r="H23" s="84" t="s">
        <v>290</v>
      </c>
      <c r="I23" s="85"/>
      <c r="J23" s="85"/>
      <c r="K23" s="86" t="str" cm="1">
        <f t="array" ref="K23">IFERROR(INDEX(I27:I36, MATCH(K22, I27:I36, 1) + 1), "")</f>
        <v/>
      </c>
    </row>
    <row r="24" spans="1:11" x14ac:dyDescent="0.25">
      <c r="A24" s="82"/>
      <c r="H24" s="203" t="str">
        <f ca="1">Versiebeheer!A3&amp;" ("&amp;TEXT(Versiebeheer!A5,"dd-mm-jjjj")&amp;"). Timestamp berekening: "&amp;TEXT(NOW(),"d-m-jjjj uu:mm")</f>
        <v>Rekenhulp ambulant budget (29-01-2026). Timestamp berekening: 29-1-2026 17:48</v>
      </c>
      <c r="I24" s="204"/>
      <c r="J24" s="204"/>
      <c r="K24" s="205"/>
    </row>
    <row r="25" spans="1:11" x14ac:dyDescent="0.25">
      <c r="A25" s="82"/>
      <c r="K25" s="114"/>
    </row>
    <row r="26" spans="1:11" x14ac:dyDescent="0.25">
      <c r="A26" s="82"/>
      <c r="B26" s="87" t="s">
        <v>278</v>
      </c>
      <c r="C26" s="88" t="s">
        <v>92</v>
      </c>
      <c r="D26" s="87" t="s">
        <v>93</v>
      </c>
      <c r="E26" s="87" t="s">
        <v>94</v>
      </c>
      <c r="G26" s="89"/>
      <c r="H26" s="201" t="s">
        <v>95</v>
      </c>
      <c r="I26" s="202"/>
      <c r="K26" s="90" t="s">
        <v>96</v>
      </c>
    </row>
    <row r="27" spans="1:11" ht="14.55" customHeight="1" x14ac:dyDescent="0.25">
      <c r="A27" s="82"/>
      <c r="B27" s="42">
        <v>13</v>
      </c>
      <c r="C27" s="56" t="s">
        <v>97</v>
      </c>
      <c r="D27" s="91">
        <f>D21</f>
        <v>0</v>
      </c>
      <c r="E27" s="42"/>
      <c r="G27" s="89"/>
      <c r="H27" s="92" t="s">
        <v>98</v>
      </c>
      <c r="I27" s="93">
        <v>1000</v>
      </c>
      <c r="K27" s="94" t="s">
        <v>99</v>
      </c>
    </row>
    <row r="28" spans="1:11" x14ac:dyDescent="0.25">
      <c r="A28" s="82"/>
      <c r="B28" s="42">
        <v>14</v>
      </c>
      <c r="C28" s="42" t="s">
        <v>100</v>
      </c>
      <c r="D28" s="95"/>
      <c r="E28" s="96" t="str">
        <f>IF(ISNUMBER(VLOOKUP(_xlfn.CONCAT(C28,$D$27),Lijsten!E38:F72,2,FALSE)),VLOOKUP(_xlfn.CONCAT(C28,$D$27),Lijsten!E38:F72,2,FALSE),"")</f>
        <v/>
      </c>
      <c r="H28" s="92" t="s">
        <v>101</v>
      </c>
      <c r="I28" s="93">
        <v>2000</v>
      </c>
      <c r="K28" s="97" t="s">
        <v>102</v>
      </c>
    </row>
    <row r="29" spans="1:11" x14ac:dyDescent="0.25">
      <c r="A29" s="82"/>
      <c r="B29" s="42">
        <v>15</v>
      </c>
      <c r="C29" s="42" t="s">
        <v>103</v>
      </c>
      <c r="D29" s="95"/>
      <c r="E29" s="96" t="str">
        <f>IF(ISNUMBER(VLOOKUP(_xlfn.CONCAT(C29,$D$27),Lijsten!E39:F73,2,FALSE)),VLOOKUP(_xlfn.CONCAT(C29,$D$27),Lijsten!E39:F73,2,FALSE),"")</f>
        <v/>
      </c>
      <c r="H29" s="92" t="s">
        <v>104</v>
      </c>
      <c r="I29" s="93">
        <v>3000</v>
      </c>
      <c r="K29" s="98" t="s">
        <v>105</v>
      </c>
    </row>
    <row r="30" spans="1:11" x14ac:dyDescent="0.25">
      <c r="A30" s="82"/>
      <c r="B30" s="42">
        <v>16</v>
      </c>
      <c r="C30" s="42" t="s">
        <v>106</v>
      </c>
      <c r="D30" s="95"/>
      <c r="E30" s="96" t="str">
        <f>IF(ISNUMBER(VLOOKUP(_xlfn.CONCAT(C30,$D$27),Lijsten!E40:F74,2,FALSE)),VLOOKUP(_xlfn.CONCAT(C30,$D$27),Lijsten!E40:F74,2,FALSE),"")</f>
        <v/>
      </c>
      <c r="H30" s="92" t="s">
        <v>107</v>
      </c>
      <c r="I30" s="93">
        <v>5000</v>
      </c>
      <c r="J30" s="99"/>
      <c r="K30" s="100" t="s">
        <v>108</v>
      </c>
    </row>
    <row r="31" spans="1:11" x14ac:dyDescent="0.25">
      <c r="A31" s="82"/>
      <c r="B31" s="42">
        <v>17</v>
      </c>
      <c r="C31" s="42" t="s">
        <v>109</v>
      </c>
      <c r="D31" s="95"/>
      <c r="E31" s="96" t="str">
        <f>IF(ISNUMBER(VLOOKUP(_xlfn.CONCAT(C31,$D$27),Lijsten!E41:F75,2,FALSE)),VLOOKUP(_xlfn.CONCAT(C31,$D$27),Lijsten!E41:F75,2,FALSE),"")</f>
        <v/>
      </c>
      <c r="H31" s="92" t="s">
        <v>110</v>
      </c>
      <c r="I31" s="93">
        <v>8000</v>
      </c>
      <c r="J31" s="101"/>
      <c r="K31" s="102" t="s">
        <v>111</v>
      </c>
    </row>
    <row r="32" spans="1:11" x14ac:dyDescent="0.25">
      <c r="A32" s="82"/>
      <c r="B32" s="42">
        <v>18</v>
      </c>
      <c r="C32" s="42" t="s">
        <v>112</v>
      </c>
      <c r="D32" s="95"/>
      <c r="E32" s="96" t="str">
        <f>IF(ISNUMBER(VLOOKUP(_xlfn.CONCAT(C32,$D$27),Lijsten!E42:F76,2,FALSE)),VLOOKUP(_xlfn.CONCAT(C32,$D$27),Lijsten!E42:F76,2,FALSE),"")</f>
        <v/>
      </c>
      <c r="H32" s="92">
        <v>6</v>
      </c>
      <c r="I32" s="93">
        <v>10000</v>
      </c>
      <c r="J32" s="101"/>
      <c r="K32" s="114"/>
    </row>
    <row r="33" spans="1:11" x14ac:dyDescent="0.25">
      <c r="A33" s="82"/>
      <c r="B33" s="42">
        <v>19</v>
      </c>
      <c r="C33" s="42" t="s">
        <v>113</v>
      </c>
      <c r="D33" s="95"/>
      <c r="E33" s="96" t="str">
        <f>IF(ISNUMBER(VLOOKUP(_xlfn.CONCAT(C33,$D$27),Lijsten!E43:F77,2,FALSE)),VLOOKUP(_xlfn.CONCAT(C33,$D$27),Lijsten!E43:F77,2,FALSE),"")</f>
        <v/>
      </c>
      <c r="H33" s="92">
        <v>7</v>
      </c>
      <c r="I33" s="93">
        <v>12000</v>
      </c>
      <c r="J33" s="101"/>
      <c r="K33" s="114"/>
    </row>
    <row r="34" spans="1:11" x14ac:dyDescent="0.25">
      <c r="A34" s="82"/>
      <c r="B34" s="42">
        <v>20</v>
      </c>
      <c r="C34" s="42" t="s">
        <v>114</v>
      </c>
      <c r="D34" s="95"/>
      <c r="E34" s="96" t="str">
        <f>IF(ISNUMBER(VLOOKUP(_xlfn.CONCAT(C34,$D$27),Lijsten!E44:F78,2,FALSE)),VLOOKUP(_xlfn.CONCAT(C34,$D$27),Lijsten!E44:F78,2,FALSE),"")</f>
        <v/>
      </c>
      <c r="H34" s="92">
        <v>8</v>
      </c>
      <c r="I34" s="93">
        <v>15000</v>
      </c>
      <c r="J34" s="101"/>
      <c r="K34" s="114"/>
    </row>
    <row r="35" spans="1:11" x14ac:dyDescent="0.25">
      <c r="A35" s="82"/>
      <c r="B35" s="42">
        <v>21</v>
      </c>
      <c r="C35" s="103" t="s">
        <v>303</v>
      </c>
      <c r="D35" s="104">
        <f>SUM(D28:D34)</f>
        <v>0</v>
      </c>
      <c r="E35" s="105"/>
      <c r="H35" s="92">
        <v>9</v>
      </c>
      <c r="I35" s="93">
        <v>20000</v>
      </c>
      <c r="J35" s="101"/>
      <c r="K35" s="114"/>
    </row>
    <row r="36" spans="1:11" x14ac:dyDescent="0.25">
      <c r="A36" s="82"/>
      <c r="B36" s="42">
        <v>22</v>
      </c>
      <c r="C36" s="106" t="s">
        <v>294</v>
      </c>
      <c r="D36" s="107">
        <f>IF(SUM(D28:D34) &lt;&gt; 1, 0, IFERROR(SUMPRODUCT(D28:D34, E28:E34) / SUM(D28:D34), 0))</f>
        <v>0</v>
      </c>
      <c r="E36" s="117"/>
      <c r="H36" s="92">
        <v>10</v>
      </c>
      <c r="I36" s="93">
        <v>25000</v>
      </c>
      <c r="J36" s="101"/>
      <c r="K36" s="114"/>
    </row>
    <row r="37" spans="1:11" x14ac:dyDescent="0.25">
      <c r="A37" s="82"/>
      <c r="J37" s="101"/>
      <c r="K37" s="114"/>
    </row>
    <row r="38" spans="1:11" ht="13.8" thickBot="1" x14ac:dyDescent="0.3">
      <c r="A38" s="118"/>
      <c r="B38" s="108"/>
      <c r="C38" s="108"/>
      <c r="D38" s="108"/>
      <c r="E38" s="108"/>
      <c r="F38" s="108"/>
      <c r="G38" s="108"/>
      <c r="H38" s="108"/>
      <c r="I38" s="108"/>
      <c r="J38" s="108"/>
      <c r="K38" s="119"/>
    </row>
    <row r="39" spans="1:11" x14ac:dyDescent="0.25">
      <c r="A39" s="82"/>
    </row>
    <row r="40" spans="1:11" x14ac:dyDescent="0.25">
      <c r="A40" s="82"/>
    </row>
  </sheetData>
  <sheetProtection algorithmName="SHA-512" hashValue="lAkeGr8PdZz8NuHG0074e2FSsAELmtZAguklQwz2F8UoC/jEun1FW+4+0Xv9ajHo3rsagXv2dq0LNRzj6iV+gw==" saltValue="3V8Un5gRrPvS4UwR4rfFow=="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2" priority="54">
      <formula>C17="Intensiteit groepsaanbod ('zwaar' alleen bij KDC's!!)"</formula>
    </cfRule>
  </conditionalFormatting>
  <conditionalFormatting sqref="D10">
    <cfRule type="expression" dxfId="21" priority="43">
      <formula>D10=""</formula>
    </cfRule>
  </conditionalFormatting>
  <conditionalFormatting sqref="D16">
    <cfRule type="expression" dxfId="20" priority="129">
      <formula>AND(B2="Duurzaam",D16&lt;&gt;1,D16&lt;&gt;0)</formula>
    </cfRule>
  </conditionalFormatting>
  <conditionalFormatting sqref="D19:D21 E19:F19 E20">
    <cfRule type="expression" dxfId="19" priority="47">
      <formula>OR($D$9="Nee",ISBLANK($D$9))</formula>
    </cfRule>
  </conditionalFormatting>
  <conditionalFormatting sqref="D20">
    <cfRule type="expression" dxfId="18" priority="41">
      <formula>AND(D11="Duurzaam",D20&lt;&gt;1,D20&lt;&gt;0)</formula>
    </cfRule>
    <cfRule type="expression" dxfId="17" priority="128">
      <formula>AND(B2="Duurzaam",D20&lt;&gt;1,D20&lt;&gt;0)</formula>
    </cfRule>
  </conditionalFormatting>
  <conditionalFormatting sqref="D23">
    <cfRule type="expression" dxfId="16" priority="42">
      <formula>NOT(ISBLANK(D23))</formula>
    </cfRule>
    <cfRule type="expression" dxfId="15" priority="46">
      <formula>OR($D$9="Nee",ISBLANK($D$9))</formula>
    </cfRule>
  </conditionalFormatting>
  <conditionalFormatting sqref="D27">
    <cfRule type="expression" dxfId="14" priority="5">
      <formula>OR($D$9="Nee",ISBLANK($D$9))</formula>
    </cfRule>
    <cfRule type="expression" dxfId="13" priority="6">
      <formula>ISBLANK(D27)</formula>
    </cfRule>
    <cfRule type="expression" dxfId="12" priority="7">
      <formula>NOT(ISBLANK(D27))</formula>
    </cfRule>
  </conditionalFormatting>
  <conditionalFormatting sqref="D28:D35">
    <cfRule type="expression" dxfId="11" priority="11">
      <formula>OR($D$8="Nee",ISBLANK($D$8))</formula>
    </cfRule>
    <cfRule type="expression" dxfId="10" priority="12">
      <formula>ISBLANK(D28)</formula>
    </cfRule>
    <cfRule type="expression" dxfId="9" priority="13">
      <formula>NOT(ISBLANK(D28))</formula>
    </cfRule>
  </conditionalFormatting>
  <conditionalFormatting sqref="D35">
    <cfRule type="cellIs" dxfId="8" priority="3" operator="greaterThan">
      <formula>1</formula>
    </cfRule>
  </conditionalFormatting>
  <conditionalFormatting sqref="D19:F19 D8:D10 F14 D14:D17 E16 D20:E20 D21">
    <cfRule type="expression" dxfId="7" priority="60">
      <formula>NOT(ISBLANK(D8))</formula>
    </cfRule>
  </conditionalFormatting>
  <conditionalFormatting sqref="E16 F14 D14:D17">
    <cfRule type="expression" dxfId="5" priority="52">
      <formula>OR($D$8="Nee",ISBLANK($D$8))</formula>
    </cfRule>
  </conditionalFormatting>
  <conditionalFormatting sqref="E16">
    <cfRule type="expression" dxfId="4" priority="48">
      <formula>NOT(ISBLANK(E16))</formula>
    </cfRule>
    <cfRule type="expression" dxfId="3" priority="49">
      <formula>OR($D$8="Nee",ISBLANK($D$8))</formula>
    </cfRule>
    <cfRule type="expression" dxfId="2" priority="50">
      <formula>ISBLANK(E16)</formula>
    </cfRule>
  </conditionalFormatting>
  <conditionalFormatting sqref="E19:F19">
    <cfRule type="expression" dxfId="1" priority="57">
      <formula>OR($D$8="Nee",ISBLANK($D$8))</formula>
    </cfRule>
  </conditionalFormatting>
  <conditionalFormatting sqref="F14 D14:D17 E16 D19:F19 D20:E20 D21 D8:D9">
    <cfRule type="expression" dxfId="0" priority="55">
      <formula>ISBLANK(D8)</formula>
    </cfRule>
  </conditionalFormatting>
  <dataValidations count="7">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E16" xr:uid="{D0B3E731-A986-4C44-BC79-5027C47939C3}">
      <formula1>DuurToewijzing</formula1>
    </dataValidation>
  </dataValidations>
  <pageMargins left="0.25" right="0.25" top="0.75" bottom="0.75" header="0.3" footer="0.3"/>
  <pageSetup paperSize="9" scale="66" orientation="landscape" r:id="rId1"/>
  <headerFooter>
    <oddFooter>&amp;F</oddFooter>
  </headerFooter>
  <ignoredErrors>
    <ignoredError sqref="K1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zoomScale="85" zoomScaleNormal="85" workbookViewId="0">
      <selection activeCell="D14" sqref="D14"/>
    </sheetView>
  </sheetViews>
  <sheetFormatPr defaultColWidth="8.77734375" defaultRowHeight="13.2" x14ac:dyDescent="0.25"/>
  <cols>
    <col min="1" max="1" width="8.77734375" style="40"/>
    <col min="2" max="2" width="11.5546875" style="40" bestFit="1" customWidth="1"/>
    <col min="3" max="3" width="6.44140625" style="40" bestFit="1" customWidth="1"/>
    <col min="4" max="4" width="44.5546875" style="40" bestFit="1" customWidth="1"/>
    <col min="5" max="5" width="66.44140625" style="40" bestFit="1" customWidth="1"/>
    <col min="6" max="6" width="11" style="40" bestFit="1" customWidth="1"/>
    <col min="7" max="7" width="31.5546875" style="40" bestFit="1" customWidth="1"/>
    <col min="8" max="8" width="10.44140625" style="40" bestFit="1" customWidth="1"/>
    <col min="9" max="9" width="10.21875" style="40" customWidth="1"/>
    <col min="10" max="10" width="20.44140625" style="40" bestFit="1" customWidth="1"/>
    <col min="11" max="11" width="12.44140625" style="40" bestFit="1" customWidth="1"/>
    <col min="12" max="13" width="12.5546875" style="40" bestFit="1" customWidth="1"/>
    <col min="14" max="14" width="24.77734375" style="40" bestFit="1" customWidth="1"/>
    <col min="15" max="15" width="10.44140625" style="40" bestFit="1" customWidth="1"/>
    <col min="16" max="16" width="24.77734375" style="40" bestFit="1" customWidth="1"/>
    <col min="17" max="17" width="9.77734375" style="40" bestFit="1" customWidth="1"/>
    <col min="18" max="18" width="11.44140625" style="40" bestFit="1" customWidth="1"/>
    <col min="19" max="19" width="19" style="40" bestFit="1" customWidth="1"/>
    <col min="20" max="20" width="9.5546875" style="40" bestFit="1" customWidth="1"/>
    <col min="21" max="21" width="8.77734375" style="40"/>
    <col min="22" max="22" width="39.77734375" style="40" bestFit="1" customWidth="1"/>
    <col min="23" max="16384" width="8.77734375" style="40"/>
  </cols>
  <sheetData>
    <row r="1" spans="2:22" x14ac:dyDescent="0.25">
      <c r="B1" s="198" t="s">
        <v>612</v>
      </c>
      <c r="F1" s="120" t="s">
        <v>222</v>
      </c>
    </row>
    <row r="2" spans="2:22" x14ac:dyDescent="0.25">
      <c r="B2" s="121" t="s">
        <v>223</v>
      </c>
      <c r="C2" s="121"/>
      <c r="E2" s="40" t="s">
        <v>224</v>
      </c>
      <c r="F2" s="192">
        <v>46387</v>
      </c>
      <c r="G2" s="122"/>
      <c r="H2" s="122" t="s">
        <v>225</v>
      </c>
      <c r="I2" s="122"/>
      <c r="J2" s="122" t="s">
        <v>226</v>
      </c>
      <c r="L2" s="40" t="s">
        <v>227</v>
      </c>
      <c r="N2" s="40" t="s">
        <v>228</v>
      </c>
      <c r="P2" s="40" t="s">
        <v>229</v>
      </c>
      <c r="S2" s="40" t="s">
        <v>230</v>
      </c>
      <c r="T2" s="40" t="s">
        <v>231</v>
      </c>
      <c r="V2" s="40" t="s">
        <v>232</v>
      </c>
    </row>
    <row r="3" spans="2:22" x14ac:dyDescent="0.25">
      <c r="B3" s="193">
        <f>Tarieven!B14</f>
        <v>95</v>
      </c>
      <c r="C3" s="63">
        <f>B3/60</f>
        <v>1.5833333333333333</v>
      </c>
      <c r="D3" s="40" t="s">
        <v>115</v>
      </c>
      <c r="E3" s="40" t="s">
        <v>85</v>
      </c>
      <c r="F3" s="193">
        <v>16.5</v>
      </c>
      <c r="G3" s="40" t="s">
        <v>233</v>
      </c>
      <c r="H3" s="40" t="s">
        <v>234</v>
      </c>
      <c r="J3" s="40" t="s">
        <v>235</v>
      </c>
      <c r="L3" s="40">
        <v>7</v>
      </c>
      <c r="N3" s="40" t="s">
        <v>236</v>
      </c>
      <c r="P3" s="42" t="s">
        <v>234</v>
      </c>
      <c r="R3" s="42" t="s">
        <v>225</v>
      </c>
      <c r="S3" s="40" t="s">
        <v>81</v>
      </c>
      <c r="T3" s="40" t="s">
        <v>237</v>
      </c>
      <c r="V3" s="123">
        <f>IF(ISNUMBER('Rekenhulp ambulant budget'!K16),'Rekenhulp ambulant budget'!K16,0)</f>
        <v>0</v>
      </c>
    </row>
    <row r="4" spans="2:22" x14ac:dyDescent="0.25">
      <c r="B4" s="193">
        <f>Tarieven!C14</f>
        <v>104</v>
      </c>
      <c r="C4" s="63">
        <f>B4/60</f>
        <v>1.7333333333333334</v>
      </c>
      <c r="D4" s="40" t="s">
        <v>91</v>
      </c>
      <c r="E4" s="40" t="s">
        <v>238</v>
      </c>
      <c r="F4" s="193">
        <v>21.56</v>
      </c>
      <c r="G4" s="40" t="s">
        <v>239</v>
      </c>
      <c r="H4" s="40" t="s">
        <v>240</v>
      </c>
      <c r="J4" s="40" t="s">
        <v>87</v>
      </c>
      <c r="L4" s="40">
        <v>1</v>
      </c>
      <c r="P4" s="42" t="s">
        <v>84</v>
      </c>
      <c r="R4" s="42" t="s">
        <v>79</v>
      </c>
      <c r="S4" s="40" t="s">
        <v>241</v>
      </c>
      <c r="T4" s="40" t="s">
        <v>242</v>
      </c>
      <c r="V4" s="123">
        <f>IF(ISNUMBER('Rekenhulp ambulant budget'!K21),'Rekenhulp ambulant budget'!K21,0)</f>
        <v>0</v>
      </c>
    </row>
    <row r="5" spans="2:22" x14ac:dyDescent="0.25">
      <c r="B5" s="193">
        <f>Tarieven!D14</f>
        <v>108</v>
      </c>
      <c r="C5" s="63">
        <f>B5/60</f>
        <v>1.8</v>
      </c>
      <c r="D5" s="40" t="s">
        <v>149</v>
      </c>
      <c r="E5" s="40" t="s">
        <v>243</v>
      </c>
      <c r="F5" s="193">
        <v>31.37</v>
      </c>
      <c r="G5" s="40" t="s">
        <v>244</v>
      </c>
      <c r="L5" s="40">
        <v>0.25</v>
      </c>
      <c r="P5" s="42" t="s">
        <v>245</v>
      </c>
      <c r="R5" s="42" t="s">
        <v>246</v>
      </c>
      <c r="S5" s="40" t="s">
        <v>247</v>
      </c>
      <c r="T5" s="40" t="s">
        <v>248</v>
      </c>
      <c r="V5" s="123">
        <f>V4+V3</f>
        <v>0</v>
      </c>
    </row>
    <row r="6" spans="2:22" x14ac:dyDescent="0.25">
      <c r="B6" s="193">
        <f>Tarieven!E14</f>
        <v>137</v>
      </c>
      <c r="C6" s="63">
        <f>B6/60</f>
        <v>2.2833333333333332</v>
      </c>
      <c r="D6" s="40" t="s">
        <v>150</v>
      </c>
      <c r="E6" s="40" t="s">
        <v>249</v>
      </c>
      <c r="F6" s="193">
        <v>39.74</v>
      </c>
      <c r="G6" s="40" t="s">
        <v>250</v>
      </c>
      <c r="L6" s="123">
        <f>1/(365/12/7)</f>
        <v>0.23013698630136983</v>
      </c>
      <c r="M6" s="40">
        <f>52*L6</f>
        <v>11.967123287671232</v>
      </c>
      <c r="P6" s="42" t="s">
        <v>89</v>
      </c>
      <c r="R6" s="42" t="s">
        <v>251</v>
      </c>
      <c r="S6" s="40" t="s">
        <v>252</v>
      </c>
      <c r="T6" s="40" t="s">
        <v>253</v>
      </c>
    </row>
    <row r="7" spans="2:22" x14ac:dyDescent="0.25">
      <c r="B7" s="193">
        <f>Tarieven!F14</f>
        <v>159</v>
      </c>
      <c r="C7" s="63">
        <f>B7/60</f>
        <v>2.65</v>
      </c>
      <c r="D7" s="40" t="s">
        <v>151</v>
      </c>
      <c r="E7" s="40" t="s">
        <v>327</v>
      </c>
      <c r="F7" s="193">
        <v>49.91</v>
      </c>
      <c r="G7" s="40" t="s">
        <v>254</v>
      </c>
      <c r="L7" s="40">
        <f>1/(52/4)</f>
        <v>7.6923076923076927E-2</v>
      </c>
      <c r="P7" s="42" t="s">
        <v>255</v>
      </c>
      <c r="R7" s="42" t="s">
        <v>256</v>
      </c>
      <c r="S7" s="40" t="s">
        <v>257</v>
      </c>
      <c r="T7" s="40" t="s">
        <v>258</v>
      </c>
    </row>
    <row r="8" spans="2:22" x14ac:dyDescent="0.25">
      <c r="E8" s="40" t="s">
        <v>334</v>
      </c>
      <c r="F8" s="193">
        <v>61.45</v>
      </c>
      <c r="G8" s="40" t="s">
        <v>259</v>
      </c>
      <c r="L8" s="40">
        <f>1/(52/2)</f>
        <v>3.8461538461538464E-2</v>
      </c>
      <c r="P8" s="42" t="s">
        <v>260</v>
      </c>
      <c r="R8" s="42" t="s">
        <v>261</v>
      </c>
      <c r="S8" s="40" t="s">
        <v>262</v>
      </c>
    </row>
    <row r="9" spans="2:22" x14ac:dyDescent="0.25">
      <c r="B9" s="178"/>
      <c r="G9" s="40" t="s">
        <v>263</v>
      </c>
      <c r="L9" s="40">
        <f>1/52</f>
        <v>1.9230769230769232E-2</v>
      </c>
      <c r="P9" s="42" t="s">
        <v>236</v>
      </c>
      <c r="R9" s="42" t="s">
        <v>236</v>
      </c>
      <c r="S9" s="40" t="s">
        <v>264</v>
      </c>
    </row>
    <row r="10" spans="2:22" x14ac:dyDescent="0.25">
      <c r="B10" s="178"/>
      <c r="G10" s="40" t="s">
        <v>265</v>
      </c>
    </row>
    <row r="11" spans="2:22" x14ac:dyDescent="0.25">
      <c r="B11" s="178"/>
      <c r="G11" s="40" t="s">
        <v>266</v>
      </c>
    </row>
    <row r="12" spans="2:22" x14ac:dyDescent="0.25">
      <c r="B12" s="178"/>
      <c r="G12" s="40" t="s">
        <v>267</v>
      </c>
      <c r="J12" s="40">
        <f>120/4.3*52</f>
        <v>1451.1627906976744</v>
      </c>
    </row>
    <row r="13" spans="2:22" x14ac:dyDescent="0.25">
      <c r="B13" s="178"/>
      <c r="D13" s="177"/>
      <c r="J13" s="40">
        <f>120*12</f>
        <v>1440</v>
      </c>
    </row>
    <row r="14" spans="2:22" x14ac:dyDescent="0.25">
      <c r="B14" s="178"/>
      <c r="D14" s="177"/>
    </row>
    <row r="15" spans="2:22" x14ac:dyDescent="0.25">
      <c r="D15" s="177"/>
      <c r="L15" s="208" t="s">
        <v>268</v>
      </c>
      <c r="M15" s="208"/>
      <c r="N15" s="208"/>
      <c r="O15" s="208"/>
      <c r="P15" s="208"/>
      <c r="Q15" s="208"/>
      <c r="R15" s="208"/>
      <c r="S15" s="208"/>
    </row>
    <row r="16" spans="2:22" x14ac:dyDescent="0.25">
      <c r="B16" s="40" t="s">
        <v>93</v>
      </c>
      <c r="D16" s="177"/>
      <c r="L16" s="42" t="s">
        <v>234</v>
      </c>
      <c r="M16" s="42" t="s">
        <v>84</v>
      </c>
      <c r="N16" s="42" t="s">
        <v>245</v>
      </c>
      <c r="O16" s="42" t="s">
        <v>89</v>
      </c>
      <c r="P16" s="42" t="s">
        <v>255</v>
      </c>
      <c r="Q16" s="42" t="s">
        <v>260</v>
      </c>
      <c r="R16" s="42" t="s">
        <v>236</v>
      </c>
      <c r="S16" s="124" t="s">
        <v>269</v>
      </c>
    </row>
    <row r="17" spans="2:20" x14ac:dyDescent="0.25">
      <c r="B17" s="125">
        <v>0.1</v>
      </c>
      <c r="D17" s="177"/>
      <c r="J17" s="219" t="s">
        <v>270</v>
      </c>
      <c r="K17" s="42" t="s">
        <v>225</v>
      </c>
      <c r="L17" s="126">
        <v>1</v>
      </c>
      <c r="M17" s="126">
        <v>7</v>
      </c>
      <c r="N17" s="126">
        <v>28</v>
      </c>
      <c r="O17" s="126">
        <f>(365/12)</f>
        <v>30.416666666666668</v>
      </c>
      <c r="P17" s="126">
        <f>(365/4)</f>
        <v>91.25</v>
      </c>
      <c r="Q17" s="126">
        <f>365/2</f>
        <v>182.5</v>
      </c>
      <c r="R17" s="126">
        <v>365</v>
      </c>
      <c r="S17" s="126"/>
      <c r="T17" s="40">
        <v>365</v>
      </c>
    </row>
    <row r="18" spans="2:20" x14ac:dyDescent="0.25">
      <c r="B18" s="125">
        <v>0.2</v>
      </c>
      <c r="J18" s="219"/>
      <c r="K18" s="42" t="s">
        <v>79</v>
      </c>
      <c r="L18" s="126">
        <v>7</v>
      </c>
      <c r="M18" s="126">
        <v>1</v>
      </c>
      <c r="N18" s="126">
        <v>4</v>
      </c>
      <c r="O18" s="126">
        <f>(365/12/7)</f>
        <v>4.3452380952380958</v>
      </c>
      <c r="P18" s="126">
        <f>365/7/4</f>
        <v>13.035714285714286</v>
      </c>
      <c r="Q18" s="126">
        <f>365/7/2</f>
        <v>26.071428571428573</v>
      </c>
      <c r="R18" s="126">
        <f>365/7</f>
        <v>52.142857142857146</v>
      </c>
      <c r="S18" s="126"/>
      <c r="T18" s="40">
        <v>52</v>
      </c>
    </row>
    <row r="19" spans="2:20" x14ac:dyDescent="0.25">
      <c r="B19" s="125">
        <v>0.3</v>
      </c>
      <c r="J19" s="219"/>
      <c r="K19" s="42" t="s">
        <v>246</v>
      </c>
      <c r="L19" s="126">
        <v>28</v>
      </c>
      <c r="M19" s="126">
        <v>0.25</v>
      </c>
      <c r="N19" s="126">
        <v>1</v>
      </c>
      <c r="O19" s="126">
        <f>(365/12/7)/4</f>
        <v>1.0863095238095239</v>
      </c>
      <c r="P19" s="126">
        <f>P18/4</f>
        <v>3.2589285714285716</v>
      </c>
      <c r="Q19" s="126">
        <f>Q18/4</f>
        <v>6.5178571428571432</v>
      </c>
      <c r="R19" s="126">
        <f>R18/4</f>
        <v>13.035714285714286</v>
      </c>
      <c r="S19" s="126"/>
      <c r="T19" s="127">
        <f>52/4</f>
        <v>13</v>
      </c>
    </row>
    <row r="20" spans="2:20" x14ac:dyDescent="0.25">
      <c r="B20" s="125">
        <v>0.4</v>
      </c>
      <c r="J20" s="219"/>
      <c r="K20" s="42" t="s">
        <v>251</v>
      </c>
      <c r="L20" s="126">
        <v>31</v>
      </c>
      <c r="M20" s="126">
        <f>1/(365/12/7)</f>
        <v>0.23013698630136983</v>
      </c>
      <c r="N20" s="126">
        <f>(365/12/7)/4</f>
        <v>1.0863095238095239</v>
      </c>
      <c r="O20" s="126">
        <v>1</v>
      </c>
      <c r="P20" s="126">
        <v>3</v>
      </c>
      <c r="Q20" s="126">
        <v>6</v>
      </c>
      <c r="R20" s="126">
        <v>12</v>
      </c>
      <c r="S20" s="126"/>
      <c r="T20" s="128">
        <v>12</v>
      </c>
    </row>
    <row r="21" spans="2:20" x14ac:dyDescent="0.25">
      <c r="B21" s="125">
        <v>0.5</v>
      </c>
      <c r="J21" s="219"/>
      <c r="K21" s="42" t="s">
        <v>256</v>
      </c>
      <c r="L21" s="126">
        <f>365/4</f>
        <v>91.25</v>
      </c>
      <c r="M21" s="126">
        <f>1/(52/4)</f>
        <v>7.6923076923076927E-2</v>
      </c>
      <c r="N21" s="126">
        <f>3*N20</f>
        <v>3.2589285714285721</v>
      </c>
      <c r="O21" s="126">
        <f>1/3</f>
        <v>0.33333333333333331</v>
      </c>
      <c r="P21" s="126">
        <v>1</v>
      </c>
      <c r="Q21" s="126">
        <v>2</v>
      </c>
      <c r="R21" s="126">
        <v>4</v>
      </c>
      <c r="S21" s="126"/>
      <c r="T21" s="128">
        <v>4</v>
      </c>
    </row>
    <row r="22" spans="2:20" x14ac:dyDescent="0.25">
      <c r="B22" s="125">
        <v>0.6</v>
      </c>
      <c r="J22" s="219"/>
      <c r="K22" s="42" t="s">
        <v>261</v>
      </c>
      <c r="L22" s="126">
        <f>365/2</f>
        <v>182.5</v>
      </c>
      <c r="M22" s="126">
        <f>1/(52/2)</f>
        <v>3.8461538461538464E-2</v>
      </c>
      <c r="N22" s="126">
        <f>6*N20</f>
        <v>6.5178571428571441</v>
      </c>
      <c r="O22" s="126">
        <f>1/6</f>
        <v>0.16666666666666666</v>
      </c>
      <c r="P22" s="126">
        <f>1/2</f>
        <v>0.5</v>
      </c>
      <c r="Q22" s="126">
        <v>1</v>
      </c>
      <c r="R22" s="126">
        <v>2</v>
      </c>
      <c r="S22" s="126"/>
      <c r="T22" s="40">
        <v>2</v>
      </c>
    </row>
    <row r="23" spans="2:20" x14ac:dyDescent="0.25">
      <c r="B23" s="125">
        <v>0.7</v>
      </c>
      <c r="J23" s="219"/>
      <c r="K23" s="42" t="s">
        <v>236</v>
      </c>
      <c r="L23" s="126">
        <v>365</v>
      </c>
      <c r="M23" s="126">
        <f>1/52</f>
        <v>1.9230769230769232E-2</v>
      </c>
      <c r="N23" s="126">
        <f>12*N20</f>
        <v>13.035714285714288</v>
      </c>
      <c r="O23" s="126">
        <f>1/12</f>
        <v>8.3333333333333329E-2</v>
      </c>
      <c r="P23" s="126">
        <f>1/4</f>
        <v>0.25</v>
      </c>
      <c r="Q23" s="126">
        <f>1/2</f>
        <v>0.5</v>
      </c>
      <c r="R23" s="126">
        <v>1</v>
      </c>
      <c r="S23" s="126"/>
      <c r="T23" s="40">
        <v>1</v>
      </c>
    </row>
    <row r="24" spans="2:20" x14ac:dyDescent="0.25">
      <c r="B24" s="125">
        <v>0.8</v>
      </c>
      <c r="J24" s="219"/>
      <c r="K24" s="42" t="s">
        <v>271</v>
      </c>
      <c r="L24" s="126">
        <v>1</v>
      </c>
      <c r="M24" s="126">
        <v>1</v>
      </c>
      <c r="N24" s="126">
        <v>1</v>
      </c>
      <c r="O24" s="126">
        <v>1</v>
      </c>
      <c r="P24" s="126">
        <v>1</v>
      </c>
      <c r="Q24" s="126">
        <v>1</v>
      </c>
      <c r="R24" s="126">
        <v>1</v>
      </c>
      <c r="S24" s="126">
        <v>1</v>
      </c>
    </row>
    <row r="25" spans="2:20" x14ac:dyDescent="0.25">
      <c r="B25" s="125">
        <v>0.9</v>
      </c>
    </row>
    <row r="26" spans="2:20" x14ac:dyDescent="0.25">
      <c r="B26" s="125">
        <v>1</v>
      </c>
    </row>
    <row r="28" spans="2:20" x14ac:dyDescent="0.25">
      <c r="B28" s="63">
        <f>IF(ISNUMBER(E28),E28,"")</f>
        <v>0</v>
      </c>
      <c r="D28" s="129" t="s">
        <v>115</v>
      </c>
      <c r="E28" s="179">
        <f>SUM(F28:L28)</f>
        <v>0</v>
      </c>
      <c r="F28" s="180">
        <f>'Rekenhulp ambulant budget'!$D$28*Tarieven!B4</f>
        <v>0</v>
      </c>
      <c r="G28" s="180">
        <f>'Rekenhulp ambulant budget'!$D$29*Tarieven!B5</f>
        <v>0</v>
      </c>
      <c r="H28" s="180">
        <f>'Rekenhulp ambulant budget'!$D$30*Tarieven!B6</f>
        <v>0</v>
      </c>
      <c r="I28" s="180">
        <f>'Rekenhulp ambulant budget'!$D$31*Tarieven!B7</f>
        <v>0</v>
      </c>
      <c r="J28" s="180">
        <f>'Rekenhulp ambulant budget'!$D$32*Tarieven!B8</f>
        <v>0</v>
      </c>
      <c r="K28" s="180">
        <f>'Rekenhulp ambulant budget'!$D$33*Tarieven!B9</f>
        <v>0</v>
      </c>
      <c r="L28" s="180">
        <f>'Rekenhulp ambulant budget'!$D$34*Tarieven!B10</f>
        <v>0</v>
      </c>
    </row>
    <row r="29" spans="2:20" x14ac:dyDescent="0.25">
      <c r="B29" s="63">
        <f t="shared" ref="B29:B32" si="0">IF(ISNUMBER(E29),E29,"")</f>
        <v>0</v>
      </c>
      <c r="D29" s="129" t="s">
        <v>91</v>
      </c>
      <c r="E29" s="179">
        <f t="shared" ref="E29:E32" si="1">SUM(F29:L29)</f>
        <v>0</v>
      </c>
      <c r="F29" s="180">
        <f>'Rekenhulp ambulant budget'!$D$28*Tarieven!C4</f>
        <v>0</v>
      </c>
      <c r="G29" s="180">
        <f>'Rekenhulp ambulant budget'!$D$29*Tarieven!C5</f>
        <v>0</v>
      </c>
      <c r="H29" s="180">
        <f>'Rekenhulp ambulant budget'!$D$30*Tarieven!C6</f>
        <v>0</v>
      </c>
      <c r="I29" s="180">
        <f>'Rekenhulp ambulant budget'!$D$31*Tarieven!C7</f>
        <v>0</v>
      </c>
      <c r="J29" s="180">
        <f>'Rekenhulp ambulant budget'!$D$32*Tarieven!C8</f>
        <v>0</v>
      </c>
      <c r="K29" s="180">
        <f>'Rekenhulp ambulant budget'!$D$33*Tarieven!C9</f>
        <v>0</v>
      </c>
      <c r="L29" s="180">
        <f>'Rekenhulp ambulant budget'!$D$34*Tarieven!C10</f>
        <v>0</v>
      </c>
    </row>
    <row r="30" spans="2:20" x14ac:dyDescent="0.25">
      <c r="B30" s="63">
        <f t="shared" si="0"/>
        <v>0</v>
      </c>
      <c r="D30" s="129" t="s">
        <v>149</v>
      </c>
      <c r="E30" s="179">
        <f t="shared" si="1"/>
        <v>0</v>
      </c>
      <c r="F30" s="180">
        <f>'Rekenhulp ambulant budget'!$D$28*Tarieven!D4</f>
        <v>0</v>
      </c>
      <c r="G30" s="180">
        <f>'Rekenhulp ambulant budget'!$D$29*Tarieven!D5</f>
        <v>0</v>
      </c>
      <c r="H30" s="180">
        <f>'Rekenhulp ambulant budget'!$D$30*Tarieven!D6</f>
        <v>0</v>
      </c>
      <c r="I30" s="180">
        <f>'Rekenhulp ambulant budget'!$D$31*Tarieven!D7</f>
        <v>0</v>
      </c>
      <c r="J30" s="180">
        <f>'Rekenhulp ambulant budget'!$D$32*Tarieven!D8</f>
        <v>0</v>
      </c>
      <c r="K30" s="180">
        <f>'Rekenhulp ambulant budget'!$D$33*Tarieven!D9</f>
        <v>0</v>
      </c>
      <c r="L30" s="180">
        <f>'Rekenhulp ambulant budget'!$D$34*Tarieven!D10</f>
        <v>0</v>
      </c>
    </row>
    <row r="31" spans="2:20" x14ac:dyDescent="0.25">
      <c r="B31" s="63">
        <f t="shared" si="0"/>
        <v>0</v>
      </c>
      <c r="D31" s="129" t="s">
        <v>150</v>
      </c>
      <c r="E31" s="179">
        <f t="shared" si="1"/>
        <v>0</v>
      </c>
      <c r="F31" s="180">
        <f>'Rekenhulp ambulant budget'!$D$28*Tarieven!E4</f>
        <v>0</v>
      </c>
      <c r="G31" s="180">
        <f>'Rekenhulp ambulant budget'!$D$29*Tarieven!E5</f>
        <v>0</v>
      </c>
      <c r="H31" s="180">
        <f>'Rekenhulp ambulant budget'!$D$30*Tarieven!E6</f>
        <v>0</v>
      </c>
      <c r="I31" s="180">
        <f>'Rekenhulp ambulant budget'!$D$31*Tarieven!E7</f>
        <v>0</v>
      </c>
      <c r="J31" s="180">
        <f>'Rekenhulp ambulant budget'!$D$32*Tarieven!E8</f>
        <v>0</v>
      </c>
      <c r="K31" s="180">
        <f>'Rekenhulp ambulant budget'!$D$33*Tarieven!E9</f>
        <v>0</v>
      </c>
      <c r="L31" s="180">
        <f>'Rekenhulp ambulant budget'!$D$34*Tarieven!E10</f>
        <v>0</v>
      </c>
    </row>
    <row r="32" spans="2:20" x14ac:dyDescent="0.25">
      <c r="B32" s="63">
        <f t="shared" si="0"/>
        <v>0</v>
      </c>
      <c r="D32" s="129" t="s">
        <v>151</v>
      </c>
      <c r="E32" s="179">
        <f t="shared" si="1"/>
        <v>0</v>
      </c>
      <c r="F32" s="180">
        <f>'Rekenhulp ambulant budget'!$D$28*Tarieven!F4</f>
        <v>0</v>
      </c>
      <c r="G32" s="180">
        <f>'Rekenhulp ambulant budget'!$D$29*Tarieven!F5</f>
        <v>0</v>
      </c>
      <c r="H32" s="180">
        <f>'Rekenhulp ambulant budget'!$D$30*Tarieven!F6</f>
        <v>0</v>
      </c>
      <c r="I32" s="180">
        <f>'Rekenhulp ambulant budget'!$D$31*Tarieven!BF7</f>
        <v>0</v>
      </c>
      <c r="J32" s="180">
        <f>'Rekenhulp ambulant budget'!$D$32*Tarieven!F8</f>
        <v>0</v>
      </c>
      <c r="K32" s="180">
        <f>'Rekenhulp ambulant budget'!$D$33*Tarieven!F9</f>
        <v>0</v>
      </c>
      <c r="L32" s="180">
        <f>'Rekenhulp ambulant budget'!$D$34*Tarieven!BF10</f>
        <v>0</v>
      </c>
    </row>
    <row r="36" spans="4:13" x14ac:dyDescent="0.25">
      <c r="F36" s="130">
        <v>2026</v>
      </c>
      <c r="G36" s="131"/>
      <c r="H36" s="131">
        <v>2024</v>
      </c>
      <c r="I36" s="131">
        <v>2025</v>
      </c>
    </row>
    <row r="37" spans="4:13" ht="13.8" thickBot="1" x14ac:dyDescent="0.3">
      <c r="F37" s="132" t="s">
        <v>317</v>
      </c>
      <c r="G37" s="132" t="s">
        <v>318</v>
      </c>
      <c r="H37" s="133" t="s">
        <v>317</v>
      </c>
      <c r="I37" s="133" t="s">
        <v>317</v>
      </c>
    </row>
    <row r="38" spans="4:13" x14ac:dyDescent="0.25">
      <c r="D38" s="134" t="s">
        <v>100</v>
      </c>
      <c r="E38" s="135" t="str">
        <f t="shared" ref="E38:E44" si="2">_xlfn.CONCAT(D38,$D$28)</f>
        <v>Aandeel tariefgroep 11. Specialistische jeugdhulpaanbieder (SJA)</v>
      </c>
      <c r="F38" s="137">
        <f>G38*60</f>
        <v>76.2</v>
      </c>
      <c r="G38" s="136">
        <v>1.27</v>
      </c>
      <c r="H38" s="138">
        <v>70.8</v>
      </c>
      <c r="I38" s="139">
        <v>73.2</v>
      </c>
      <c r="K38" s="63"/>
      <c r="M38" s="63"/>
    </row>
    <row r="39" spans="4:13" x14ac:dyDescent="0.25">
      <c r="D39" s="140" t="s">
        <v>103</v>
      </c>
      <c r="E39" s="141" t="str">
        <f t="shared" si="2"/>
        <v>Aandeel tariefgroep 21. Specialistische jeugdhulpaanbieder (SJA)</v>
      </c>
      <c r="F39" s="196">
        <f t="shared" ref="F39:F72" si="3">G39*60</f>
        <v>85.199999999999989</v>
      </c>
      <c r="G39" s="194">
        <v>1.42</v>
      </c>
      <c r="H39" s="142">
        <v>79.2</v>
      </c>
      <c r="I39" s="143">
        <v>82.2</v>
      </c>
    </row>
    <row r="40" spans="4:13" x14ac:dyDescent="0.25">
      <c r="D40" s="140" t="s">
        <v>106</v>
      </c>
      <c r="E40" s="141" t="str">
        <f t="shared" si="2"/>
        <v>Aandeel tariefgroep 31. Specialistische jeugdhulpaanbieder (SJA)</v>
      </c>
      <c r="F40" s="196">
        <f t="shared" si="3"/>
        <v>101.39999999999999</v>
      </c>
      <c r="G40" s="194">
        <v>1.69</v>
      </c>
      <c r="H40" s="142">
        <v>94.800000000000011</v>
      </c>
      <c r="I40" s="143">
        <v>97.8</v>
      </c>
    </row>
    <row r="41" spans="4:13" x14ac:dyDescent="0.25">
      <c r="D41" s="140" t="s">
        <v>109</v>
      </c>
      <c r="E41" s="141" t="str">
        <f t="shared" si="2"/>
        <v>Aandeel tariefgroep 41. Specialistische jeugdhulpaanbieder (SJA)</v>
      </c>
      <c r="F41" s="196">
        <f t="shared" si="3"/>
        <v>112.8</v>
      </c>
      <c r="G41" s="194">
        <v>1.88</v>
      </c>
      <c r="H41" s="142">
        <v>105</v>
      </c>
      <c r="I41" s="143">
        <v>109.2</v>
      </c>
    </row>
    <row r="42" spans="4:13" x14ac:dyDescent="0.25">
      <c r="D42" s="140" t="s">
        <v>112</v>
      </c>
      <c r="E42" s="141" t="str">
        <f t="shared" si="2"/>
        <v>Aandeel tariefgroep 51. Specialistische jeugdhulpaanbieder (SJA)</v>
      </c>
      <c r="F42" s="196">
        <f t="shared" si="3"/>
        <v>130.19999999999999</v>
      </c>
      <c r="G42" s="194">
        <v>2.17</v>
      </c>
      <c r="H42" s="142">
        <v>121.2</v>
      </c>
      <c r="I42" s="143">
        <v>126</v>
      </c>
    </row>
    <row r="43" spans="4:13" x14ac:dyDescent="0.25">
      <c r="D43" s="140" t="s">
        <v>113</v>
      </c>
      <c r="E43" s="141" t="str">
        <f t="shared" si="2"/>
        <v>Aandeel tariefgroep 61. Specialistische jeugdhulpaanbieder (SJA)</v>
      </c>
      <c r="F43" s="196">
        <f t="shared" si="3"/>
        <v>154.80000000000001</v>
      </c>
      <c r="G43" s="194">
        <v>2.58</v>
      </c>
      <c r="H43" s="142">
        <v>144.60000000000002</v>
      </c>
      <c r="I43" s="143">
        <v>150</v>
      </c>
    </row>
    <row r="44" spans="4:13" ht="13.8" thickBot="1" x14ac:dyDescent="0.3">
      <c r="D44" s="144" t="s">
        <v>114</v>
      </c>
      <c r="E44" s="145" t="str">
        <f t="shared" si="2"/>
        <v>Aandeel tariefgroep 71. Specialistische jeugdhulpaanbieder (SJA)</v>
      </c>
      <c r="F44" s="197">
        <f t="shared" si="3"/>
        <v>218.4</v>
      </c>
      <c r="G44" s="195">
        <v>3.64</v>
      </c>
      <c r="H44" s="146">
        <v>202.79999999999998</v>
      </c>
      <c r="I44" s="147">
        <v>211.2</v>
      </c>
    </row>
    <row r="45" spans="4:13" x14ac:dyDescent="0.25">
      <c r="D45" s="134" t="s">
        <v>100</v>
      </c>
      <c r="E45" s="135" t="str">
        <f t="shared" ref="E45:E51" si="4">_xlfn.CONCAT(D45,$D$29)</f>
        <v>Aandeel tariefgroep 12. Systeemaanbieder (SA)</v>
      </c>
      <c r="F45" s="137">
        <f t="shared" si="3"/>
        <v>81</v>
      </c>
      <c r="G45" s="136">
        <v>1.35</v>
      </c>
      <c r="H45" s="138">
        <v>75.599999999999994</v>
      </c>
      <c r="I45" s="139">
        <v>78</v>
      </c>
    </row>
    <row r="46" spans="4:13" x14ac:dyDescent="0.25">
      <c r="D46" s="140" t="s">
        <v>103</v>
      </c>
      <c r="E46" s="141" t="str">
        <f t="shared" si="4"/>
        <v>Aandeel tariefgroep 22. Systeemaanbieder (SA)</v>
      </c>
      <c r="F46" s="196">
        <f t="shared" si="3"/>
        <v>96.600000000000009</v>
      </c>
      <c r="G46" s="194">
        <v>1.61</v>
      </c>
      <c r="H46" s="142">
        <v>90</v>
      </c>
      <c r="I46" s="143">
        <v>93</v>
      </c>
    </row>
    <row r="47" spans="4:13" x14ac:dyDescent="0.25">
      <c r="D47" s="140" t="s">
        <v>106</v>
      </c>
      <c r="E47" s="141" t="str">
        <f t="shared" si="4"/>
        <v>Aandeel tariefgroep 32. Systeemaanbieder (SA)</v>
      </c>
      <c r="F47" s="196">
        <f t="shared" si="3"/>
        <v>108</v>
      </c>
      <c r="G47" s="194">
        <v>1.8</v>
      </c>
      <c r="H47" s="142">
        <v>100.8</v>
      </c>
      <c r="I47" s="143">
        <v>103.8</v>
      </c>
    </row>
    <row r="48" spans="4:13" x14ac:dyDescent="0.25">
      <c r="D48" s="140" t="s">
        <v>109</v>
      </c>
      <c r="E48" s="141" t="str">
        <f t="shared" si="4"/>
        <v>Aandeel tariefgroep 42. Systeemaanbieder (SA)</v>
      </c>
      <c r="F48" s="196">
        <f t="shared" si="3"/>
        <v>119.4</v>
      </c>
      <c r="G48" s="194">
        <v>1.99</v>
      </c>
      <c r="H48" s="142">
        <v>111.60000000000001</v>
      </c>
      <c r="I48" s="143">
        <v>115.19999999999999</v>
      </c>
    </row>
    <row r="49" spans="4:9" x14ac:dyDescent="0.25">
      <c r="D49" s="140" t="s">
        <v>112</v>
      </c>
      <c r="E49" s="141" t="str">
        <f t="shared" si="4"/>
        <v>Aandeel tariefgroep 52. Systeemaanbieder (SA)</v>
      </c>
      <c r="F49" s="196">
        <f t="shared" si="3"/>
        <v>136.79999999999998</v>
      </c>
      <c r="G49" s="194">
        <v>2.2799999999999998</v>
      </c>
      <c r="H49" s="142">
        <v>127.2</v>
      </c>
      <c r="I49" s="143">
        <v>132</v>
      </c>
    </row>
    <row r="50" spans="4:9" x14ac:dyDescent="0.25">
      <c r="D50" s="140" t="s">
        <v>113</v>
      </c>
      <c r="E50" s="141" t="str">
        <f t="shared" si="4"/>
        <v>Aandeel tariefgroep 62. Systeemaanbieder (SA)</v>
      </c>
      <c r="F50" s="196">
        <f t="shared" si="3"/>
        <v>161.4</v>
      </c>
      <c r="G50" s="194">
        <v>2.69</v>
      </c>
      <c r="H50" s="142">
        <v>150.6</v>
      </c>
      <c r="I50" s="143">
        <v>156</v>
      </c>
    </row>
    <row r="51" spans="4:9" ht="13.8" thickBot="1" x14ac:dyDescent="0.3">
      <c r="D51" s="144" t="s">
        <v>114</v>
      </c>
      <c r="E51" s="145" t="str">
        <f t="shared" si="4"/>
        <v>Aandeel tariefgroep 72. Systeemaanbieder (SA)</v>
      </c>
      <c r="F51" s="197">
        <f t="shared" si="3"/>
        <v>225</v>
      </c>
      <c r="G51" s="195">
        <v>3.75</v>
      </c>
      <c r="H51" s="146">
        <v>208.8</v>
      </c>
      <c r="I51" s="147">
        <v>217.79999999999998</v>
      </c>
    </row>
    <row r="52" spans="4:9" x14ac:dyDescent="0.25">
      <c r="D52" s="134" t="s">
        <v>100</v>
      </c>
      <c r="E52" s="135" t="str">
        <f t="shared" ref="E52:E58" si="5">_xlfn.CONCAT(D52,$D$30)</f>
        <v>Aandeel tariefgroep 13. Aanbieder GGZ 1</v>
      </c>
      <c r="F52" s="137">
        <f t="shared" si="3"/>
        <v>81</v>
      </c>
      <c r="G52" s="136">
        <v>1.35</v>
      </c>
      <c r="H52" s="138">
        <v>75.599999999999994</v>
      </c>
      <c r="I52" s="139">
        <v>78</v>
      </c>
    </row>
    <row r="53" spans="4:9" x14ac:dyDescent="0.25">
      <c r="D53" s="140" t="s">
        <v>103</v>
      </c>
      <c r="E53" s="141" t="str">
        <f t="shared" si="5"/>
        <v>Aandeel tariefgroep 23. Aanbieder GGZ 1</v>
      </c>
      <c r="F53" s="196">
        <f t="shared" si="3"/>
        <v>102.6</v>
      </c>
      <c r="G53" s="194">
        <v>1.71</v>
      </c>
      <c r="H53" s="142">
        <v>95.4</v>
      </c>
      <c r="I53" s="143">
        <v>98.399999999999991</v>
      </c>
    </row>
    <row r="54" spans="4:9" x14ac:dyDescent="0.25">
      <c r="D54" s="140" t="s">
        <v>106</v>
      </c>
      <c r="E54" s="141" t="str">
        <f t="shared" si="5"/>
        <v>Aandeel tariefgroep 33. Aanbieder GGZ 1</v>
      </c>
      <c r="F54" s="196">
        <f t="shared" si="3"/>
        <v>114</v>
      </c>
      <c r="G54" s="194">
        <v>1.9</v>
      </c>
      <c r="H54" s="142">
        <v>106.2</v>
      </c>
      <c r="I54" s="143">
        <v>109.2</v>
      </c>
    </row>
    <row r="55" spans="4:9" x14ac:dyDescent="0.25">
      <c r="D55" s="140" t="s">
        <v>109</v>
      </c>
      <c r="E55" s="141" t="str">
        <f t="shared" si="5"/>
        <v>Aandeel tariefgroep 43. Aanbieder GGZ 1</v>
      </c>
      <c r="F55" s="196">
        <f t="shared" si="3"/>
        <v>125.39999999999999</v>
      </c>
      <c r="G55" s="194">
        <v>2.09</v>
      </c>
      <c r="H55" s="142">
        <v>117</v>
      </c>
      <c r="I55" s="143">
        <v>120.6</v>
      </c>
    </row>
    <row r="56" spans="4:9" x14ac:dyDescent="0.25">
      <c r="D56" s="140" t="s">
        <v>112</v>
      </c>
      <c r="E56" s="141" t="str">
        <f t="shared" si="5"/>
        <v>Aandeel tariefgroep 53. Aanbieder GGZ 1</v>
      </c>
      <c r="F56" s="196">
        <f t="shared" si="3"/>
        <v>142.79999999999998</v>
      </c>
      <c r="G56" s="194">
        <v>2.38</v>
      </c>
      <c r="H56" s="142">
        <v>132.6</v>
      </c>
      <c r="I56" s="143">
        <v>137.4</v>
      </c>
    </row>
    <row r="57" spans="4:9" x14ac:dyDescent="0.25">
      <c r="D57" s="140" t="s">
        <v>113</v>
      </c>
      <c r="E57" s="141" t="str">
        <f t="shared" si="5"/>
        <v>Aandeel tariefgroep 63. Aanbieder GGZ 1</v>
      </c>
      <c r="F57" s="196">
        <f t="shared" si="3"/>
        <v>167.4</v>
      </c>
      <c r="G57" s="194">
        <v>2.79</v>
      </c>
      <c r="H57" s="142">
        <v>156</v>
      </c>
      <c r="I57" s="143">
        <v>161.4</v>
      </c>
    </row>
    <row r="58" spans="4:9" ht="13.8" thickBot="1" x14ac:dyDescent="0.3">
      <c r="D58" s="144" t="s">
        <v>114</v>
      </c>
      <c r="E58" s="145" t="str">
        <f t="shared" si="5"/>
        <v>Aandeel tariefgroep 73. Aanbieder GGZ 1</v>
      </c>
      <c r="F58" s="197">
        <f t="shared" si="3"/>
        <v>229.8</v>
      </c>
      <c r="G58" s="195">
        <v>3.83</v>
      </c>
      <c r="H58" s="146">
        <v>214.2</v>
      </c>
      <c r="I58" s="147">
        <v>223.20000000000002</v>
      </c>
    </row>
    <row r="59" spans="4:9" x14ac:dyDescent="0.25">
      <c r="D59" s="134" t="s">
        <v>100</v>
      </c>
      <c r="E59" s="135" t="str">
        <f t="shared" ref="E59:E65" si="6">_xlfn.CONCAT(D59,$D$31)</f>
        <v>Aandeel tariefgroep 14. Aanbieder GGZ 2 met verblijf</v>
      </c>
      <c r="F59" s="137">
        <f t="shared" si="3"/>
        <v>81</v>
      </c>
      <c r="G59" s="136">
        <v>1.35</v>
      </c>
      <c r="H59" s="138">
        <v>75.599999999999994</v>
      </c>
      <c r="I59" s="139">
        <v>78</v>
      </c>
    </row>
    <row r="60" spans="4:9" x14ac:dyDescent="0.25">
      <c r="D60" s="140" t="s">
        <v>103</v>
      </c>
      <c r="E60" s="141" t="str">
        <f t="shared" si="6"/>
        <v>Aandeel tariefgroep 24. Aanbieder GGZ 2 met verblijf</v>
      </c>
      <c r="F60" s="196">
        <f t="shared" si="3"/>
        <v>109.80000000000001</v>
      </c>
      <c r="G60" s="194">
        <v>1.83</v>
      </c>
      <c r="H60" s="142">
        <v>102.6</v>
      </c>
      <c r="I60" s="143">
        <v>105</v>
      </c>
    </row>
    <row r="61" spans="4:9" x14ac:dyDescent="0.25">
      <c r="D61" s="140" t="s">
        <v>106</v>
      </c>
      <c r="E61" s="141" t="str">
        <f t="shared" si="6"/>
        <v>Aandeel tariefgroep 34. Aanbieder GGZ 2 met verblijf</v>
      </c>
      <c r="F61" s="196">
        <f t="shared" si="3"/>
        <v>121.2</v>
      </c>
      <c r="G61" s="194">
        <v>2.02</v>
      </c>
      <c r="H61" s="142">
        <v>113.39999999999999</v>
      </c>
      <c r="I61" s="143">
        <v>116.39999999999999</v>
      </c>
    </row>
    <row r="62" spans="4:9" x14ac:dyDescent="0.25">
      <c r="D62" s="140" t="s">
        <v>109</v>
      </c>
      <c r="E62" s="141" t="str">
        <f t="shared" si="6"/>
        <v>Aandeel tariefgroep 44. Aanbieder GGZ 2 met verblijf</v>
      </c>
      <c r="F62" s="196">
        <f t="shared" si="3"/>
        <v>132.6</v>
      </c>
      <c r="G62" s="194">
        <v>2.21</v>
      </c>
      <c r="H62" s="142">
        <v>123.60000000000001</v>
      </c>
      <c r="I62" s="143">
        <v>127.2</v>
      </c>
    </row>
    <row r="63" spans="4:9" x14ac:dyDescent="0.25">
      <c r="D63" s="140" t="s">
        <v>112</v>
      </c>
      <c r="E63" s="141" t="str">
        <f t="shared" si="6"/>
        <v>Aandeel tariefgroep 54. Aanbieder GGZ 2 met verblijf</v>
      </c>
      <c r="F63" s="196">
        <f t="shared" si="3"/>
        <v>150</v>
      </c>
      <c r="G63" s="194">
        <v>2.5</v>
      </c>
      <c r="H63" s="142">
        <v>139.80000000000001</v>
      </c>
      <c r="I63" s="143">
        <v>144</v>
      </c>
    </row>
    <row r="64" spans="4:9" x14ac:dyDescent="0.25">
      <c r="D64" s="140" t="s">
        <v>113</v>
      </c>
      <c r="E64" s="141" t="str">
        <f t="shared" si="6"/>
        <v>Aandeel tariefgroep 64. Aanbieder GGZ 2 met verblijf</v>
      </c>
      <c r="F64" s="196">
        <f t="shared" si="3"/>
        <v>175.2</v>
      </c>
      <c r="G64" s="194">
        <v>2.92</v>
      </c>
      <c r="H64" s="142">
        <v>163.20000000000002</v>
      </c>
      <c r="I64" s="143">
        <v>168.6</v>
      </c>
    </row>
    <row r="65" spans="4:9" ht="13.8" thickBot="1" x14ac:dyDescent="0.3">
      <c r="D65" s="144" t="s">
        <v>114</v>
      </c>
      <c r="E65" s="145" t="str">
        <f t="shared" si="6"/>
        <v>Aandeel tariefgroep 74. Aanbieder GGZ 2 met verblijf</v>
      </c>
      <c r="F65" s="197">
        <f t="shared" si="3"/>
        <v>237</v>
      </c>
      <c r="G65" s="195">
        <v>3.95</v>
      </c>
      <c r="H65" s="146">
        <v>221.4</v>
      </c>
      <c r="I65" s="147">
        <v>229.8</v>
      </c>
    </row>
    <row r="66" spans="4:9" x14ac:dyDescent="0.25">
      <c r="D66" s="134" t="s">
        <v>100</v>
      </c>
      <c r="E66" s="135" t="str">
        <f t="shared" ref="E66:E72" si="7">_xlfn.CONCAT(D66,$D$32)</f>
        <v>Aandeel tariefgroep 15. Aanbieder GGZ 3 met academische functie</v>
      </c>
      <c r="F66" s="137">
        <f t="shared" si="3"/>
        <v>81.600000000000009</v>
      </c>
      <c r="G66" s="136">
        <v>1.36</v>
      </c>
      <c r="H66" s="138">
        <v>75.599999999999994</v>
      </c>
      <c r="I66" s="139">
        <v>78</v>
      </c>
    </row>
    <row r="67" spans="4:9" x14ac:dyDescent="0.25">
      <c r="D67" s="140" t="s">
        <v>103</v>
      </c>
      <c r="E67" s="141" t="str">
        <f t="shared" si="7"/>
        <v>Aandeel tariefgroep 25. Aanbieder GGZ 3 met academische functie</v>
      </c>
      <c r="F67" s="196">
        <f t="shared" si="3"/>
        <v>122.4</v>
      </c>
      <c r="G67" s="194">
        <v>2.04</v>
      </c>
      <c r="H67" s="142">
        <v>114.6</v>
      </c>
      <c r="I67" s="143">
        <v>117</v>
      </c>
    </row>
    <row r="68" spans="4:9" x14ac:dyDescent="0.25">
      <c r="D68" s="140" t="s">
        <v>106</v>
      </c>
      <c r="E68" s="141" t="str">
        <f t="shared" si="7"/>
        <v>Aandeel tariefgroep 35. Aanbieder GGZ 3 met academische functie</v>
      </c>
      <c r="F68" s="196">
        <f t="shared" si="3"/>
        <v>134.4</v>
      </c>
      <c r="G68" s="194">
        <v>2.2400000000000002</v>
      </c>
      <c r="H68" s="142">
        <v>125.39999999999999</v>
      </c>
      <c r="I68" s="143">
        <v>128.4</v>
      </c>
    </row>
    <row r="69" spans="4:9" x14ac:dyDescent="0.25">
      <c r="D69" s="140" t="s">
        <v>109</v>
      </c>
      <c r="E69" s="141" t="str">
        <f t="shared" si="7"/>
        <v>Aandeel tariefgroep 45. Aanbieder GGZ 3 met academische functie</v>
      </c>
      <c r="F69" s="196">
        <f t="shared" si="3"/>
        <v>145.80000000000001</v>
      </c>
      <c r="G69" s="194">
        <v>2.4300000000000002</v>
      </c>
      <c r="H69" s="142">
        <v>136.19999999999999</v>
      </c>
      <c r="I69" s="143">
        <v>139.80000000000001</v>
      </c>
    </row>
    <row r="70" spans="4:9" x14ac:dyDescent="0.25">
      <c r="D70" s="140" t="s">
        <v>112</v>
      </c>
      <c r="E70" s="141" t="str">
        <f t="shared" si="7"/>
        <v>Aandeel tariefgroep 55. Aanbieder GGZ 3 met academische functie</v>
      </c>
      <c r="F70" s="196">
        <f t="shared" si="3"/>
        <v>163.20000000000002</v>
      </c>
      <c r="G70" s="194">
        <v>2.72</v>
      </c>
      <c r="H70" s="142">
        <v>152.4</v>
      </c>
      <c r="I70" s="143">
        <v>157.20000000000002</v>
      </c>
    </row>
    <row r="71" spans="4:9" x14ac:dyDescent="0.25">
      <c r="D71" s="140" t="s">
        <v>113</v>
      </c>
      <c r="E71" s="141" t="str">
        <f t="shared" si="7"/>
        <v>Aandeel tariefgroep 65. Aanbieder GGZ 3 met academische functie</v>
      </c>
      <c r="F71" s="196">
        <f t="shared" si="3"/>
        <v>189</v>
      </c>
      <c r="G71" s="194">
        <v>3.15</v>
      </c>
      <c r="H71" s="142">
        <v>176.4</v>
      </c>
      <c r="I71" s="143">
        <v>181.2</v>
      </c>
    </row>
    <row r="72" spans="4:9" ht="13.8" thickBot="1" x14ac:dyDescent="0.3">
      <c r="D72" s="144" t="s">
        <v>114</v>
      </c>
      <c r="E72" s="145" t="str">
        <f t="shared" si="7"/>
        <v>Aandeel tariefgroep 75. Aanbieder GGZ 3 met academische functie</v>
      </c>
      <c r="F72" s="197">
        <f t="shared" si="3"/>
        <v>252</v>
      </c>
      <c r="G72" s="195">
        <v>4.2</v>
      </c>
      <c r="H72" s="146">
        <v>235.2</v>
      </c>
      <c r="I72" s="147">
        <v>244.20000000000002</v>
      </c>
    </row>
    <row r="73" spans="4:9" x14ac:dyDescent="0.25">
      <c r="D73" s="148"/>
    </row>
    <row r="74" spans="4:9" x14ac:dyDescent="0.25">
      <c r="D74" s="149"/>
    </row>
    <row r="75" spans="4:9" x14ac:dyDescent="0.25">
      <c r="D75" s="149"/>
    </row>
    <row r="76" spans="4:9" x14ac:dyDescent="0.25">
      <c r="D76" s="149"/>
    </row>
    <row r="77" spans="4:9" x14ac:dyDescent="0.25">
      <c r="D77" s="149"/>
    </row>
    <row r="78" spans="4:9" x14ac:dyDescent="0.25">
      <c r="D78" s="149"/>
    </row>
    <row r="79" spans="4:9" x14ac:dyDescent="0.25">
      <c r="D79" s="149"/>
    </row>
  </sheetData>
  <sheetProtection formatColumns="0" formatRows="0"/>
  <mergeCells count="2">
    <mergeCell ref="L15:S15"/>
    <mergeCell ref="J17:J24"/>
  </mergeCells>
  <phoneticPr fontId="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pageSetUpPr fitToPage="1"/>
  </sheetPr>
  <dimension ref="A1:L133"/>
  <sheetViews>
    <sheetView showGridLines="0" zoomScaleNormal="100" workbookViewId="0">
      <pane ySplit="4" topLeftCell="A5" activePane="bottomLeft" state="frozen"/>
      <selection pane="bottomLeft" activeCell="B10" sqref="B10"/>
    </sheetView>
  </sheetViews>
  <sheetFormatPr defaultColWidth="8.77734375" defaultRowHeight="13.2" x14ac:dyDescent="0.25"/>
  <cols>
    <col min="1" max="1" width="45.6640625" style="156" customWidth="1"/>
    <col min="2" max="2" width="24.77734375" style="156" customWidth="1"/>
    <col min="3" max="3" width="17.5546875" style="156" customWidth="1"/>
    <col min="4" max="4" width="16.88671875" style="156" customWidth="1"/>
    <col min="5" max="5" width="12.88671875" style="156" customWidth="1"/>
    <col min="6" max="6" width="14.44140625" style="156" customWidth="1"/>
    <col min="7" max="7" width="16.44140625" style="156" customWidth="1"/>
    <col min="8" max="8" width="13.21875" style="156" customWidth="1"/>
    <col min="9" max="9" width="14.109375" style="156" customWidth="1"/>
    <col min="10" max="10" width="11.21875" style="156" customWidth="1"/>
    <col min="11" max="11" width="10.5546875" style="156" customWidth="1"/>
    <col min="12" max="12" width="10.44140625" style="156" customWidth="1"/>
    <col min="13" max="16384" width="8.77734375" style="40"/>
  </cols>
  <sheetData>
    <row r="1" spans="1:12" ht="67.5" customHeight="1" x14ac:dyDescent="0.25">
      <c r="A1" s="159" t="s">
        <v>331</v>
      </c>
      <c r="B1" s="158"/>
      <c r="C1" s="158"/>
      <c r="D1" s="2"/>
      <c r="E1" s="2"/>
      <c r="F1" s="2"/>
      <c r="G1" s="2"/>
      <c r="H1" s="2"/>
      <c r="I1" s="2"/>
      <c r="J1" s="2"/>
      <c r="K1" s="2"/>
      <c r="L1" s="2"/>
    </row>
    <row r="2" spans="1:12" ht="15.6" x14ac:dyDescent="0.25">
      <c r="A2" s="157" t="s">
        <v>583</v>
      </c>
      <c r="B2" s="2"/>
      <c r="C2" s="2"/>
      <c r="D2" s="2"/>
      <c r="E2" s="2"/>
      <c r="F2" s="2"/>
      <c r="G2" s="2"/>
      <c r="H2" s="2"/>
      <c r="I2" s="2"/>
      <c r="J2" s="2"/>
      <c r="K2" s="2"/>
      <c r="L2" s="2"/>
    </row>
    <row r="3" spans="1:12" ht="75.45" customHeight="1" x14ac:dyDescent="0.25">
      <c r="A3" s="175" t="s">
        <v>116</v>
      </c>
      <c r="B3" s="175" t="s">
        <v>117</v>
      </c>
      <c r="C3" s="176" t="s">
        <v>589</v>
      </c>
      <c r="D3" s="176" t="s">
        <v>590</v>
      </c>
      <c r="E3" s="176" t="s">
        <v>591</v>
      </c>
      <c r="F3" s="176" t="s">
        <v>592</v>
      </c>
      <c r="G3" s="176" t="s">
        <v>593</v>
      </c>
      <c r="H3" s="176" t="s">
        <v>594</v>
      </c>
      <c r="I3" s="176" t="s">
        <v>595</v>
      </c>
      <c r="J3" s="176" t="s">
        <v>596</v>
      </c>
      <c r="K3" s="176" t="s">
        <v>597</v>
      </c>
      <c r="L3" s="176" t="s">
        <v>598</v>
      </c>
    </row>
    <row r="4" spans="1:12" s="120" customFormat="1" x14ac:dyDescent="0.25">
      <c r="A4" s="4">
        <f>COUNTA(A5:A133)</f>
        <v>129</v>
      </c>
      <c r="B4" s="4" t="s">
        <v>315</v>
      </c>
      <c r="C4" s="5">
        <f t="shared" ref="C4:L4" si="0">COUNTA(C5:C133)</f>
        <v>80</v>
      </c>
      <c r="D4" s="5">
        <f t="shared" si="0"/>
        <v>14</v>
      </c>
      <c r="E4" s="5">
        <f t="shared" si="0"/>
        <v>24</v>
      </c>
      <c r="F4" s="5">
        <f t="shared" si="0"/>
        <v>1</v>
      </c>
      <c r="G4" s="5">
        <f t="shared" si="0"/>
        <v>2</v>
      </c>
      <c r="H4" s="5">
        <f t="shared" si="0"/>
        <v>36</v>
      </c>
      <c r="I4" s="5">
        <f t="shared" si="0"/>
        <v>2</v>
      </c>
      <c r="J4" s="5">
        <f t="shared" si="0"/>
        <v>1</v>
      </c>
      <c r="K4" s="5">
        <f t="shared" si="0"/>
        <v>40</v>
      </c>
      <c r="L4" s="5">
        <f t="shared" si="0"/>
        <v>16</v>
      </c>
    </row>
    <row r="5" spans="1:12" x14ac:dyDescent="0.25">
      <c r="A5" s="153" t="s">
        <v>491</v>
      </c>
      <c r="B5" s="154" t="s">
        <v>492</v>
      </c>
      <c r="C5" s="155">
        <v>1</v>
      </c>
      <c r="D5" s="155"/>
      <c r="E5" s="155"/>
      <c r="F5" s="155"/>
      <c r="G5" s="155"/>
      <c r="H5" s="155"/>
      <c r="I5" s="155"/>
      <c r="J5" s="155"/>
      <c r="K5" s="155"/>
      <c r="L5" s="155"/>
    </row>
    <row r="6" spans="1:12" x14ac:dyDescent="0.25">
      <c r="A6" s="3" t="s">
        <v>118</v>
      </c>
      <c r="B6" s="154" t="s">
        <v>490</v>
      </c>
      <c r="C6" s="155"/>
      <c r="D6" s="155"/>
      <c r="E6" s="155"/>
      <c r="F6" s="155"/>
      <c r="G6" s="155">
        <v>5</v>
      </c>
      <c r="H6" s="155"/>
      <c r="I6" s="155"/>
      <c r="J6" s="155"/>
      <c r="K6" s="155">
        <v>8</v>
      </c>
      <c r="L6" s="155"/>
    </row>
    <row r="7" spans="1:12" x14ac:dyDescent="0.25">
      <c r="A7" s="153" t="s">
        <v>569</v>
      </c>
      <c r="B7" s="154" t="s">
        <v>494</v>
      </c>
      <c r="C7" s="155">
        <v>1</v>
      </c>
      <c r="D7" s="155"/>
      <c r="E7" s="155"/>
      <c r="F7" s="155"/>
      <c r="G7" s="155"/>
      <c r="H7" s="155">
        <v>6</v>
      </c>
      <c r="I7" s="155"/>
      <c r="J7" s="155"/>
      <c r="K7" s="155">
        <v>8</v>
      </c>
      <c r="L7" s="155"/>
    </row>
    <row r="8" spans="1:12" x14ac:dyDescent="0.25">
      <c r="A8" s="153" t="s">
        <v>489</v>
      </c>
      <c r="B8" s="154" t="s">
        <v>490</v>
      </c>
      <c r="C8" s="155"/>
      <c r="D8" s="155"/>
      <c r="E8" s="155">
        <v>3</v>
      </c>
      <c r="F8" s="155"/>
      <c r="G8" s="155"/>
      <c r="H8" s="155"/>
      <c r="I8" s="155"/>
      <c r="J8" s="155"/>
      <c r="K8" s="155"/>
      <c r="L8" s="155">
        <v>9</v>
      </c>
    </row>
    <row r="9" spans="1:12" x14ac:dyDescent="0.25">
      <c r="A9" s="153" t="s">
        <v>119</v>
      </c>
      <c r="B9" s="154" t="s">
        <v>497</v>
      </c>
      <c r="C9" s="155"/>
      <c r="D9" s="155">
        <v>2</v>
      </c>
      <c r="E9" s="155"/>
      <c r="F9" s="155"/>
      <c r="G9" s="155"/>
      <c r="H9" s="155"/>
      <c r="I9" s="155"/>
      <c r="J9" s="155">
        <v>1</v>
      </c>
      <c r="K9" s="155">
        <v>8</v>
      </c>
      <c r="L9" s="155"/>
    </row>
    <row r="10" spans="1:12" x14ac:dyDescent="0.25">
      <c r="A10" s="153" t="s">
        <v>533</v>
      </c>
      <c r="B10" s="154" t="s">
        <v>497</v>
      </c>
      <c r="C10" s="155"/>
      <c r="D10" s="155"/>
      <c r="E10" s="155">
        <v>3</v>
      </c>
      <c r="F10" s="155"/>
      <c r="G10" s="155"/>
      <c r="H10" s="155"/>
      <c r="I10" s="155"/>
      <c r="J10" s="155"/>
      <c r="K10" s="155"/>
      <c r="L10" s="155"/>
    </row>
    <row r="11" spans="1:12" x14ac:dyDescent="0.25">
      <c r="A11" s="153" t="s">
        <v>493</v>
      </c>
      <c r="B11" s="154" t="s">
        <v>494</v>
      </c>
      <c r="C11" s="155"/>
      <c r="D11" s="155"/>
      <c r="E11" s="155">
        <v>3</v>
      </c>
      <c r="F11" s="155"/>
      <c r="G11" s="155"/>
      <c r="H11" s="155"/>
      <c r="I11" s="155"/>
      <c r="J11" s="155"/>
      <c r="K11" s="155"/>
      <c r="L11" s="155"/>
    </row>
    <row r="12" spans="1:12" x14ac:dyDescent="0.25">
      <c r="A12" s="153" t="s">
        <v>120</v>
      </c>
      <c r="B12" s="154" t="s">
        <v>490</v>
      </c>
      <c r="C12" s="155"/>
      <c r="D12" s="155"/>
      <c r="E12" s="155">
        <v>3</v>
      </c>
      <c r="F12" s="155"/>
      <c r="G12" s="155"/>
      <c r="H12" s="155"/>
      <c r="I12" s="155"/>
      <c r="J12" s="155"/>
      <c r="K12" s="155"/>
      <c r="L12" s="155"/>
    </row>
    <row r="13" spans="1:12" x14ac:dyDescent="0.25">
      <c r="A13" s="153" t="s">
        <v>554</v>
      </c>
      <c r="B13" s="154" t="s">
        <v>496</v>
      </c>
      <c r="C13" s="155">
        <v>1</v>
      </c>
      <c r="D13" s="155"/>
      <c r="E13" s="155"/>
      <c r="F13" s="155"/>
      <c r="G13" s="155"/>
      <c r="H13" s="155">
        <v>6</v>
      </c>
      <c r="I13" s="155"/>
      <c r="J13" s="155"/>
      <c r="K13" s="155"/>
      <c r="L13" s="155"/>
    </row>
    <row r="14" spans="1:12" x14ac:dyDescent="0.25">
      <c r="A14" s="153" t="s">
        <v>495</v>
      </c>
      <c r="B14" s="154" t="s">
        <v>496</v>
      </c>
      <c r="C14" s="155"/>
      <c r="D14" s="155"/>
      <c r="E14" s="155">
        <v>3</v>
      </c>
      <c r="F14" s="155"/>
      <c r="G14" s="155"/>
      <c r="H14" s="155"/>
      <c r="I14" s="155"/>
      <c r="J14" s="155"/>
      <c r="K14" s="155"/>
      <c r="L14" s="155"/>
    </row>
    <row r="15" spans="1:12" x14ac:dyDescent="0.25">
      <c r="A15" s="153" t="s">
        <v>306</v>
      </c>
      <c r="B15" s="154" t="s">
        <v>497</v>
      </c>
      <c r="C15" s="155">
        <v>1</v>
      </c>
      <c r="D15" s="155"/>
      <c r="E15" s="155"/>
      <c r="F15" s="155"/>
      <c r="G15" s="155"/>
      <c r="H15" s="155"/>
      <c r="I15" s="155"/>
      <c r="J15" s="155"/>
      <c r="K15" s="155"/>
      <c r="L15" s="155">
        <v>9</v>
      </c>
    </row>
    <row r="16" spans="1:12" x14ac:dyDescent="0.25">
      <c r="A16" s="153" t="s">
        <v>498</v>
      </c>
      <c r="B16" s="154" t="s">
        <v>496</v>
      </c>
      <c r="C16" s="155">
        <v>1</v>
      </c>
      <c r="D16" s="155"/>
      <c r="E16" s="155"/>
      <c r="F16" s="155"/>
      <c r="G16" s="155"/>
      <c r="H16" s="155">
        <v>6</v>
      </c>
      <c r="I16" s="155"/>
      <c r="J16" s="155"/>
      <c r="K16" s="155">
        <v>8</v>
      </c>
      <c r="L16" s="155"/>
    </row>
    <row r="17" spans="1:12" x14ac:dyDescent="0.25">
      <c r="A17" s="153" t="s">
        <v>542</v>
      </c>
      <c r="B17" s="154" t="s">
        <v>490</v>
      </c>
      <c r="C17" s="155">
        <v>1</v>
      </c>
      <c r="D17" s="155"/>
      <c r="E17" s="155"/>
      <c r="F17" s="155"/>
      <c r="G17" s="155"/>
      <c r="H17" s="155"/>
      <c r="I17" s="155"/>
      <c r="J17" s="155"/>
      <c r="K17" s="155"/>
      <c r="L17" s="155"/>
    </row>
    <row r="18" spans="1:12" x14ac:dyDescent="0.25">
      <c r="A18" s="153" t="s">
        <v>499</v>
      </c>
      <c r="B18" s="154" t="s">
        <v>500</v>
      </c>
      <c r="C18" s="155">
        <v>1</v>
      </c>
      <c r="D18" s="155"/>
      <c r="E18" s="155"/>
      <c r="F18" s="155"/>
      <c r="G18" s="155"/>
      <c r="H18" s="155"/>
      <c r="I18" s="155"/>
      <c r="J18" s="155"/>
      <c r="K18" s="155"/>
      <c r="L18" s="155"/>
    </row>
    <row r="19" spans="1:12" x14ac:dyDescent="0.25">
      <c r="A19" s="153" t="s">
        <v>507</v>
      </c>
      <c r="B19" s="154" t="s">
        <v>496</v>
      </c>
      <c r="C19" s="155">
        <v>1</v>
      </c>
      <c r="D19" s="155"/>
      <c r="E19" s="155"/>
      <c r="F19" s="155"/>
      <c r="G19" s="155"/>
      <c r="H19" s="155">
        <v>6</v>
      </c>
      <c r="I19" s="155"/>
      <c r="J19" s="155"/>
      <c r="K19" s="155">
        <v>8</v>
      </c>
      <c r="L19" s="155"/>
    </row>
    <row r="20" spans="1:12" x14ac:dyDescent="0.25">
      <c r="A20" s="3" t="s">
        <v>501</v>
      </c>
      <c r="B20" s="154" t="s">
        <v>494</v>
      </c>
      <c r="C20" s="155"/>
      <c r="D20" s="155"/>
      <c r="E20" s="155">
        <v>3</v>
      </c>
      <c r="F20" s="155"/>
      <c r="G20" s="155"/>
      <c r="H20" s="155"/>
      <c r="I20" s="155"/>
      <c r="J20" s="155"/>
      <c r="K20" s="155"/>
      <c r="L20" s="155"/>
    </row>
    <row r="21" spans="1:12" x14ac:dyDescent="0.25">
      <c r="A21" s="153" t="s">
        <v>121</v>
      </c>
      <c r="B21" s="154" t="s">
        <v>492</v>
      </c>
      <c r="C21" s="155"/>
      <c r="D21" s="155"/>
      <c r="E21" s="155">
        <v>3</v>
      </c>
      <c r="F21" s="155"/>
      <c r="G21" s="155"/>
      <c r="H21" s="155"/>
      <c r="I21" s="155"/>
      <c r="J21" s="155"/>
      <c r="K21" s="155"/>
      <c r="L21" s="155">
        <v>9</v>
      </c>
    </row>
    <row r="22" spans="1:12" x14ac:dyDescent="0.25">
      <c r="A22" s="3" t="s">
        <v>502</v>
      </c>
      <c r="B22" s="154" t="s">
        <v>490</v>
      </c>
      <c r="C22" s="155">
        <v>1</v>
      </c>
      <c r="D22" s="155"/>
      <c r="E22" s="155"/>
      <c r="F22" s="155"/>
      <c r="G22" s="155"/>
      <c r="H22" s="155"/>
      <c r="I22" s="155"/>
      <c r="J22" s="155"/>
      <c r="K22" s="155"/>
      <c r="L22" s="155"/>
    </row>
    <row r="23" spans="1:12" x14ac:dyDescent="0.25">
      <c r="A23" s="153" t="s">
        <v>503</v>
      </c>
      <c r="B23" s="154" t="s">
        <v>492</v>
      </c>
      <c r="C23" s="155">
        <v>1</v>
      </c>
      <c r="D23" s="155"/>
      <c r="E23" s="155"/>
      <c r="F23" s="155"/>
      <c r="G23" s="155"/>
      <c r="H23" s="155"/>
      <c r="I23" s="155"/>
      <c r="J23" s="155"/>
      <c r="K23" s="155"/>
      <c r="L23" s="155"/>
    </row>
    <row r="24" spans="1:12" x14ac:dyDescent="0.25">
      <c r="A24" s="3" t="s">
        <v>504</v>
      </c>
      <c r="B24" s="154" t="s">
        <v>494</v>
      </c>
      <c r="C24" s="155">
        <v>1</v>
      </c>
      <c r="D24" s="155"/>
      <c r="E24" s="155"/>
      <c r="F24" s="155"/>
      <c r="G24" s="155"/>
      <c r="H24" s="155"/>
      <c r="I24" s="155"/>
      <c r="J24" s="155"/>
      <c r="K24" s="155"/>
      <c r="L24" s="155"/>
    </row>
    <row r="25" spans="1:12" x14ac:dyDescent="0.25">
      <c r="A25" s="153" t="s">
        <v>122</v>
      </c>
      <c r="B25" s="154" t="s">
        <v>490</v>
      </c>
      <c r="C25" s="155">
        <v>1</v>
      </c>
      <c r="D25" s="155"/>
      <c r="E25" s="155"/>
      <c r="F25" s="155"/>
      <c r="G25" s="155"/>
      <c r="H25" s="155"/>
      <c r="I25" s="155"/>
      <c r="J25" s="155"/>
      <c r="K25" s="155"/>
      <c r="L25" s="155"/>
    </row>
    <row r="26" spans="1:12" x14ac:dyDescent="0.25">
      <c r="A26" s="3" t="s">
        <v>555</v>
      </c>
      <c r="B26" s="154" t="s">
        <v>492</v>
      </c>
      <c r="C26" s="155">
        <v>1</v>
      </c>
      <c r="D26" s="155"/>
      <c r="E26" s="155"/>
      <c r="F26" s="155"/>
      <c r="G26" s="155"/>
      <c r="H26" s="155"/>
      <c r="I26" s="155"/>
      <c r="J26" s="155"/>
      <c r="K26" s="155"/>
      <c r="L26" s="155"/>
    </row>
    <row r="27" spans="1:12" x14ac:dyDescent="0.25">
      <c r="A27" s="3" t="s">
        <v>534</v>
      </c>
      <c r="B27" s="154" t="s">
        <v>490</v>
      </c>
      <c r="C27" s="155">
        <v>1</v>
      </c>
      <c r="D27" s="155"/>
      <c r="E27" s="155"/>
      <c r="F27" s="155"/>
      <c r="G27" s="155"/>
      <c r="H27" s="155"/>
      <c r="I27" s="155"/>
      <c r="J27" s="155"/>
      <c r="K27" s="155"/>
      <c r="L27" s="155"/>
    </row>
    <row r="28" spans="1:12" x14ac:dyDescent="0.25">
      <c r="A28" s="153" t="s">
        <v>529</v>
      </c>
      <c r="B28" s="154" t="s">
        <v>496</v>
      </c>
      <c r="C28" s="155">
        <v>1</v>
      </c>
      <c r="D28" s="155"/>
      <c r="E28" s="155"/>
      <c r="F28" s="155"/>
      <c r="G28" s="155"/>
      <c r="H28" s="155"/>
      <c r="I28" s="155"/>
      <c r="J28" s="155"/>
      <c r="K28" s="155"/>
      <c r="L28" s="155">
        <v>9</v>
      </c>
    </row>
    <row r="29" spans="1:12" x14ac:dyDescent="0.25">
      <c r="A29" s="153" t="s">
        <v>123</v>
      </c>
      <c r="B29" s="154" t="s">
        <v>492</v>
      </c>
      <c r="C29" s="155">
        <v>1</v>
      </c>
      <c r="D29" s="155"/>
      <c r="E29" s="155"/>
      <c r="F29" s="155"/>
      <c r="G29" s="155"/>
      <c r="H29" s="155">
        <v>6</v>
      </c>
      <c r="I29" s="155"/>
      <c r="J29" s="155"/>
      <c r="K29" s="155"/>
      <c r="L29" s="155"/>
    </row>
    <row r="30" spans="1:12" x14ac:dyDescent="0.25">
      <c r="A30" s="153" t="s">
        <v>124</v>
      </c>
      <c r="B30" s="154" t="s">
        <v>496</v>
      </c>
      <c r="C30" s="155">
        <v>1</v>
      </c>
      <c r="D30" s="155"/>
      <c r="E30" s="155"/>
      <c r="F30" s="155"/>
      <c r="G30" s="155"/>
      <c r="H30" s="155"/>
      <c r="I30" s="155"/>
      <c r="J30" s="155"/>
      <c r="K30" s="155"/>
      <c r="L30" s="155">
        <v>9</v>
      </c>
    </row>
    <row r="31" spans="1:12" x14ac:dyDescent="0.25">
      <c r="A31" s="153" t="s">
        <v>539</v>
      </c>
      <c r="B31" s="154" t="s">
        <v>490</v>
      </c>
      <c r="C31" s="155">
        <v>1</v>
      </c>
      <c r="D31" s="155"/>
      <c r="E31" s="155"/>
      <c r="F31" s="155"/>
      <c r="G31" s="155"/>
      <c r="H31" s="155"/>
      <c r="I31" s="155"/>
      <c r="J31" s="155"/>
      <c r="K31" s="155"/>
      <c r="L31" s="155"/>
    </row>
    <row r="32" spans="1:12" x14ac:dyDescent="0.25">
      <c r="A32" s="153" t="s">
        <v>506</v>
      </c>
      <c r="B32" s="154" t="s">
        <v>494</v>
      </c>
      <c r="C32" s="155"/>
      <c r="D32" s="155"/>
      <c r="E32" s="155">
        <v>3</v>
      </c>
      <c r="F32" s="155"/>
      <c r="G32" s="155"/>
      <c r="H32" s="155"/>
      <c r="I32" s="155"/>
      <c r="J32" s="155"/>
      <c r="K32" s="155"/>
      <c r="L32" s="155"/>
    </row>
    <row r="33" spans="1:12" x14ac:dyDescent="0.25">
      <c r="A33" s="3" t="s">
        <v>125</v>
      </c>
      <c r="B33" s="154" t="s">
        <v>496</v>
      </c>
      <c r="C33" s="155"/>
      <c r="D33" s="155">
        <v>2</v>
      </c>
      <c r="E33" s="155"/>
      <c r="F33" s="155"/>
      <c r="G33" s="155"/>
      <c r="H33" s="155">
        <v>6</v>
      </c>
      <c r="I33" s="155"/>
      <c r="J33" s="155"/>
      <c r="K33" s="155">
        <v>8</v>
      </c>
      <c r="L33" s="155"/>
    </row>
    <row r="34" spans="1:12" x14ac:dyDescent="0.25">
      <c r="A34" s="3" t="s">
        <v>508</v>
      </c>
      <c r="B34" s="154" t="s">
        <v>500</v>
      </c>
      <c r="C34" s="155"/>
      <c r="D34" s="155"/>
      <c r="E34" s="155">
        <v>3</v>
      </c>
      <c r="F34" s="155"/>
      <c r="G34" s="155"/>
      <c r="H34" s="155"/>
      <c r="I34" s="155"/>
      <c r="J34" s="155"/>
      <c r="K34" s="155"/>
      <c r="L34" s="155"/>
    </row>
    <row r="35" spans="1:12" x14ac:dyDescent="0.25">
      <c r="A35" s="153" t="s">
        <v>535</v>
      </c>
      <c r="B35" s="154" t="s">
        <v>496</v>
      </c>
      <c r="C35" s="155">
        <v>1</v>
      </c>
      <c r="D35" s="155"/>
      <c r="E35" s="155"/>
      <c r="F35" s="155"/>
      <c r="G35" s="155"/>
      <c r="H35" s="155"/>
      <c r="I35" s="155"/>
      <c r="J35" s="155"/>
      <c r="K35" s="155"/>
      <c r="L35" s="155"/>
    </row>
    <row r="36" spans="1:12" x14ac:dyDescent="0.25">
      <c r="A36" s="153" t="s">
        <v>126</v>
      </c>
      <c r="B36" s="154" t="s">
        <v>500</v>
      </c>
      <c r="C36" s="155">
        <v>1</v>
      </c>
      <c r="D36" s="155"/>
      <c r="E36" s="155"/>
      <c r="F36" s="155"/>
      <c r="G36" s="155"/>
      <c r="H36" s="155">
        <v>6</v>
      </c>
      <c r="I36" s="155"/>
      <c r="J36" s="155"/>
      <c r="K36" s="155">
        <v>8</v>
      </c>
      <c r="L36" s="155"/>
    </row>
    <row r="37" spans="1:12" x14ac:dyDescent="0.25">
      <c r="A37" s="153" t="s">
        <v>341</v>
      </c>
      <c r="B37" s="154" t="s">
        <v>492</v>
      </c>
      <c r="C37" s="155">
        <v>1</v>
      </c>
      <c r="D37" s="155"/>
      <c r="E37" s="155"/>
      <c r="F37" s="155"/>
      <c r="G37" s="155"/>
      <c r="H37" s="155">
        <v>6</v>
      </c>
      <c r="I37" s="155"/>
      <c r="J37" s="155"/>
      <c r="K37" s="155"/>
      <c r="L37" s="155"/>
    </row>
    <row r="38" spans="1:12" x14ac:dyDescent="0.25">
      <c r="A38" s="153" t="s">
        <v>505</v>
      </c>
      <c r="B38" s="154" t="s">
        <v>494</v>
      </c>
      <c r="C38" s="155">
        <v>1</v>
      </c>
      <c r="D38" s="155"/>
      <c r="E38" s="155"/>
      <c r="F38" s="155"/>
      <c r="G38" s="155"/>
      <c r="H38" s="155"/>
      <c r="I38" s="155"/>
      <c r="J38" s="155"/>
      <c r="K38" s="155"/>
      <c r="L38" s="155"/>
    </row>
    <row r="39" spans="1:12" x14ac:dyDescent="0.25">
      <c r="A39" s="153" t="s">
        <v>536</v>
      </c>
      <c r="B39" s="154" t="s">
        <v>492</v>
      </c>
      <c r="C39" s="155">
        <v>1</v>
      </c>
      <c r="D39" s="155"/>
      <c r="E39" s="155"/>
      <c r="F39" s="155"/>
      <c r="G39" s="155"/>
      <c r="H39" s="155">
        <v>6</v>
      </c>
      <c r="I39" s="155"/>
      <c r="J39" s="155"/>
      <c r="K39" s="155"/>
      <c r="L39" s="155"/>
    </row>
    <row r="40" spans="1:12" x14ac:dyDescent="0.25">
      <c r="A40" s="153" t="s">
        <v>538</v>
      </c>
      <c r="B40" s="154" t="s">
        <v>500</v>
      </c>
      <c r="C40" s="155"/>
      <c r="D40" s="155"/>
      <c r="E40" s="155">
        <v>3</v>
      </c>
      <c r="F40" s="155"/>
      <c r="G40" s="155"/>
      <c r="H40" s="155"/>
      <c r="I40" s="155"/>
      <c r="J40" s="155"/>
      <c r="K40" s="155"/>
      <c r="L40" s="155"/>
    </row>
    <row r="41" spans="1:12" x14ac:dyDescent="0.25">
      <c r="A41" s="153" t="s">
        <v>556</v>
      </c>
      <c r="B41" s="154" t="s">
        <v>492</v>
      </c>
      <c r="C41" s="155"/>
      <c r="D41" s="155"/>
      <c r="E41" s="155"/>
      <c r="F41" s="155">
        <v>4</v>
      </c>
      <c r="G41" s="155"/>
      <c r="H41" s="155"/>
      <c r="I41" s="155"/>
      <c r="J41" s="155"/>
      <c r="K41" s="155">
        <v>8</v>
      </c>
      <c r="L41" s="155"/>
    </row>
    <row r="42" spans="1:12" x14ac:dyDescent="0.25">
      <c r="A42" s="3" t="s">
        <v>127</v>
      </c>
      <c r="B42" s="154" t="s">
        <v>497</v>
      </c>
      <c r="C42" s="155">
        <v>1</v>
      </c>
      <c r="D42" s="155"/>
      <c r="E42" s="155"/>
      <c r="F42" s="155"/>
      <c r="G42" s="155"/>
      <c r="H42" s="155"/>
      <c r="I42" s="155"/>
      <c r="J42" s="155"/>
      <c r="K42" s="155"/>
      <c r="L42" s="155"/>
    </row>
    <row r="43" spans="1:12" x14ac:dyDescent="0.25">
      <c r="A43" s="153" t="s">
        <v>557</v>
      </c>
      <c r="B43" s="154" t="s">
        <v>490</v>
      </c>
      <c r="C43" s="155">
        <v>1</v>
      </c>
      <c r="D43" s="155"/>
      <c r="E43" s="155"/>
      <c r="F43" s="155"/>
      <c r="G43" s="155"/>
      <c r="H43" s="155"/>
      <c r="I43" s="155"/>
      <c r="J43" s="155"/>
      <c r="K43" s="155"/>
      <c r="L43" s="155">
        <v>9</v>
      </c>
    </row>
    <row r="44" spans="1:12" x14ac:dyDescent="0.25">
      <c r="A44" s="153" t="s">
        <v>558</v>
      </c>
      <c r="B44" s="154" t="s">
        <v>500</v>
      </c>
      <c r="C44" s="155"/>
      <c r="D44" s="155"/>
      <c r="E44" s="155"/>
      <c r="F44" s="155"/>
      <c r="G44" s="155"/>
      <c r="H44" s="155"/>
      <c r="I44" s="155"/>
      <c r="J44" s="155"/>
      <c r="K44" s="155">
        <v>8</v>
      </c>
      <c r="L44" s="155"/>
    </row>
    <row r="45" spans="1:12" x14ac:dyDescent="0.25">
      <c r="A45" s="3" t="s">
        <v>540</v>
      </c>
      <c r="B45" s="154" t="s">
        <v>494</v>
      </c>
      <c r="C45" s="155"/>
      <c r="D45" s="155"/>
      <c r="E45" s="155">
        <v>3</v>
      </c>
      <c r="F45" s="155"/>
      <c r="G45" s="155"/>
      <c r="H45" s="155"/>
      <c r="I45" s="155"/>
      <c r="J45" s="155"/>
      <c r="K45" s="155"/>
      <c r="L45" s="155"/>
    </row>
    <row r="46" spans="1:12" x14ac:dyDescent="0.25">
      <c r="A46" s="3" t="s">
        <v>513</v>
      </c>
      <c r="B46" s="154" t="s">
        <v>490</v>
      </c>
      <c r="C46" s="155"/>
      <c r="D46" s="155"/>
      <c r="E46" s="155">
        <v>3</v>
      </c>
      <c r="F46" s="155"/>
      <c r="G46" s="155"/>
      <c r="H46" s="155"/>
      <c r="I46" s="155"/>
      <c r="J46" s="155"/>
      <c r="K46" s="155"/>
      <c r="L46" s="155">
        <v>9</v>
      </c>
    </row>
    <row r="47" spans="1:12" x14ac:dyDescent="0.25">
      <c r="A47" s="153" t="s">
        <v>559</v>
      </c>
      <c r="B47" s="154" t="s">
        <v>496</v>
      </c>
      <c r="C47" s="155"/>
      <c r="D47" s="155"/>
      <c r="E47" s="155">
        <v>3</v>
      </c>
      <c r="F47" s="155"/>
      <c r="G47" s="155"/>
      <c r="H47" s="155"/>
      <c r="I47" s="155"/>
      <c r="J47" s="155"/>
      <c r="K47" s="155"/>
      <c r="L47" s="155"/>
    </row>
    <row r="48" spans="1:12" x14ac:dyDescent="0.25">
      <c r="A48" s="153" t="s">
        <v>560</v>
      </c>
      <c r="B48" s="154" t="s">
        <v>500</v>
      </c>
      <c r="C48" s="155">
        <v>1</v>
      </c>
      <c r="D48" s="155"/>
      <c r="E48" s="155"/>
      <c r="F48" s="155"/>
      <c r="G48" s="155"/>
      <c r="H48" s="155">
        <v>6</v>
      </c>
      <c r="I48" s="155"/>
      <c r="J48" s="155"/>
      <c r="K48" s="155">
        <v>8</v>
      </c>
      <c r="L48" s="155"/>
    </row>
    <row r="49" spans="1:12" x14ac:dyDescent="0.25">
      <c r="A49" s="3" t="s">
        <v>514</v>
      </c>
      <c r="B49" s="154" t="s">
        <v>496</v>
      </c>
      <c r="C49" s="155">
        <v>1</v>
      </c>
      <c r="D49" s="155"/>
      <c r="E49" s="155"/>
      <c r="F49" s="155"/>
      <c r="G49" s="155"/>
      <c r="H49" s="155"/>
      <c r="I49" s="155"/>
      <c r="J49" s="155"/>
      <c r="K49" s="155"/>
      <c r="L49" s="155"/>
    </row>
    <row r="50" spans="1:12" x14ac:dyDescent="0.25">
      <c r="A50" s="3" t="s">
        <v>515</v>
      </c>
      <c r="B50" s="154" t="s">
        <v>494</v>
      </c>
      <c r="C50" s="155">
        <v>1</v>
      </c>
      <c r="D50" s="155"/>
      <c r="E50" s="155"/>
      <c r="F50" s="155"/>
      <c r="G50" s="155"/>
      <c r="H50" s="155"/>
      <c r="I50" s="155"/>
      <c r="J50" s="155"/>
      <c r="K50" s="155"/>
      <c r="L50" s="155"/>
    </row>
    <row r="51" spans="1:12" x14ac:dyDescent="0.25">
      <c r="A51" s="153" t="s">
        <v>516</v>
      </c>
      <c r="B51" s="154" t="s">
        <v>492</v>
      </c>
      <c r="C51" s="155"/>
      <c r="D51" s="155"/>
      <c r="E51" s="155">
        <v>3</v>
      </c>
      <c r="F51" s="155"/>
      <c r="G51" s="155"/>
      <c r="H51" s="155"/>
      <c r="I51" s="155"/>
      <c r="J51" s="155"/>
      <c r="K51" s="155"/>
      <c r="L51" s="155"/>
    </row>
    <row r="52" spans="1:12" x14ac:dyDescent="0.25">
      <c r="A52" s="153" t="s">
        <v>128</v>
      </c>
      <c r="B52" s="154" t="s">
        <v>500</v>
      </c>
      <c r="C52" s="155">
        <v>1</v>
      </c>
      <c r="D52" s="155"/>
      <c r="E52" s="155"/>
      <c r="F52" s="155"/>
      <c r="G52" s="155"/>
      <c r="H52" s="155">
        <v>6</v>
      </c>
      <c r="I52" s="155"/>
      <c r="J52" s="155"/>
      <c r="K52" s="155">
        <v>8</v>
      </c>
      <c r="L52" s="155"/>
    </row>
    <row r="53" spans="1:12" x14ac:dyDescent="0.25">
      <c r="A53" s="153" t="s">
        <v>129</v>
      </c>
      <c r="B53" s="154" t="s">
        <v>494</v>
      </c>
      <c r="C53" s="155">
        <v>1</v>
      </c>
      <c r="D53" s="155"/>
      <c r="E53" s="155"/>
      <c r="F53" s="155"/>
      <c r="G53" s="155"/>
      <c r="H53" s="155">
        <v>6</v>
      </c>
      <c r="I53" s="155"/>
      <c r="J53" s="155"/>
      <c r="K53" s="155"/>
      <c r="L53" s="155"/>
    </row>
    <row r="54" spans="1:12" x14ac:dyDescent="0.25">
      <c r="A54" s="153" t="s">
        <v>517</v>
      </c>
      <c r="B54" s="154" t="s">
        <v>500</v>
      </c>
      <c r="C54" s="155">
        <v>1</v>
      </c>
      <c r="D54" s="155"/>
      <c r="E54" s="155"/>
      <c r="F54" s="155"/>
      <c r="G54" s="155"/>
      <c r="H54" s="155"/>
      <c r="I54" s="155"/>
      <c r="J54" s="155"/>
      <c r="K54" s="155"/>
      <c r="L54" s="155"/>
    </row>
    <row r="55" spans="1:12" x14ac:dyDescent="0.25">
      <c r="A55" s="153" t="s">
        <v>130</v>
      </c>
      <c r="B55" s="154" t="s">
        <v>492</v>
      </c>
      <c r="C55" s="155">
        <v>1</v>
      </c>
      <c r="D55" s="155"/>
      <c r="E55" s="155"/>
      <c r="F55" s="155"/>
      <c r="G55" s="155"/>
      <c r="H55" s="155">
        <v>6</v>
      </c>
      <c r="I55" s="155"/>
      <c r="J55" s="155"/>
      <c r="K55" s="155"/>
      <c r="L55" s="155"/>
    </row>
    <row r="56" spans="1:12" x14ac:dyDescent="0.25">
      <c r="A56" s="153" t="s">
        <v>518</v>
      </c>
      <c r="B56" s="154" t="s">
        <v>490</v>
      </c>
      <c r="C56" s="155">
        <v>1</v>
      </c>
      <c r="D56" s="155"/>
      <c r="E56" s="155"/>
      <c r="F56" s="155"/>
      <c r="G56" s="155"/>
      <c r="H56" s="155">
        <v>6</v>
      </c>
      <c r="I56" s="155"/>
      <c r="J56" s="155"/>
      <c r="K56" s="155"/>
      <c r="L56" s="155"/>
    </row>
    <row r="57" spans="1:12" x14ac:dyDescent="0.25">
      <c r="A57" s="153" t="s">
        <v>307</v>
      </c>
      <c r="B57" s="154" t="s">
        <v>496</v>
      </c>
      <c r="C57" s="155">
        <v>1</v>
      </c>
      <c r="D57" s="155"/>
      <c r="E57" s="155"/>
      <c r="F57" s="155"/>
      <c r="G57" s="155"/>
      <c r="H57" s="155"/>
      <c r="I57" s="155"/>
      <c r="J57" s="155"/>
      <c r="K57" s="155"/>
      <c r="L57" s="155"/>
    </row>
    <row r="58" spans="1:12" x14ac:dyDescent="0.25">
      <c r="A58" s="153" t="s">
        <v>564</v>
      </c>
      <c r="B58" s="154" t="s">
        <v>500</v>
      </c>
      <c r="C58" s="155">
        <v>1</v>
      </c>
      <c r="D58" s="155"/>
      <c r="E58" s="155"/>
      <c r="F58" s="155"/>
      <c r="G58" s="155"/>
      <c r="H58" s="155"/>
      <c r="I58" s="155"/>
      <c r="J58" s="155"/>
      <c r="K58" s="155"/>
      <c r="L58" s="155">
        <v>9</v>
      </c>
    </row>
    <row r="59" spans="1:12" x14ac:dyDescent="0.25">
      <c r="A59" s="153" t="s">
        <v>131</v>
      </c>
      <c r="B59" s="154" t="s">
        <v>494</v>
      </c>
      <c r="C59" s="155">
        <v>1</v>
      </c>
      <c r="D59" s="155"/>
      <c r="E59" s="155"/>
      <c r="F59" s="155"/>
      <c r="G59" s="155"/>
      <c r="H59" s="155"/>
      <c r="I59" s="155"/>
      <c r="J59" s="155"/>
      <c r="K59" s="155"/>
      <c r="L59" s="155"/>
    </row>
    <row r="60" spans="1:12" x14ac:dyDescent="0.25">
      <c r="A60" s="153" t="s">
        <v>132</v>
      </c>
      <c r="B60" s="154" t="s">
        <v>497</v>
      </c>
      <c r="C60" s="155">
        <v>1</v>
      </c>
      <c r="D60" s="155"/>
      <c r="E60" s="155"/>
      <c r="F60" s="155"/>
      <c r="G60" s="155"/>
      <c r="H60" s="155"/>
      <c r="I60" s="155"/>
      <c r="J60" s="155"/>
      <c r="K60" s="155"/>
      <c r="L60" s="155"/>
    </row>
    <row r="61" spans="1:12" x14ac:dyDescent="0.25">
      <c r="A61" s="153" t="s">
        <v>519</v>
      </c>
      <c r="B61" s="154" t="s">
        <v>494</v>
      </c>
      <c r="C61" s="155">
        <v>1</v>
      </c>
      <c r="D61" s="155"/>
      <c r="E61" s="155"/>
      <c r="F61" s="155"/>
      <c r="G61" s="155"/>
      <c r="H61" s="155"/>
      <c r="I61" s="155"/>
      <c r="J61" s="155"/>
      <c r="K61" s="155"/>
      <c r="L61" s="155"/>
    </row>
    <row r="62" spans="1:12" x14ac:dyDescent="0.25">
      <c r="A62" s="1" t="s">
        <v>133</v>
      </c>
      <c r="B62" s="154" t="s">
        <v>500</v>
      </c>
      <c r="C62" s="155">
        <v>1</v>
      </c>
      <c r="D62" s="155"/>
      <c r="E62" s="155"/>
      <c r="F62" s="155"/>
      <c r="G62" s="155"/>
      <c r="H62" s="155"/>
      <c r="I62" s="155"/>
      <c r="J62" s="155"/>
      <c r="K62" s="155">
        <v>8</v>
      </c>
      <c r="L62" s="155"/>
    </row>
    <row r="63" spans="1:12" x14ac:dyDescent="0.25">
      <c r="A63" s="153" t="s">
        <v>134</v>
      </c>
      <c r="B63" s="154" t="s">
        <v>494</v>
      </c>
      <c r="C63" s="155">
        <v>1</v>
      </c>
      <c r="D63" s="155"/>
      <c r="E63" s="155"/>
      <c r="F63" s="155"/>
      <c r="G63" s="155"/>
      <c r="H63" s="155"/>
      <c r="I63" s="155"/>
      <c r="J63" s="155"/>
      <c r="K63" s="155"/>
      <c r="L63" s="155"/>
    </row>
    <row r="64" spans="1:12" x14ac:dyDescent="0.25">
      <c r="A64" s="3" t="s">
        <v>135</v>
      </c>
      <c r="B64" s="154" t="s">
        <v>500</v>
      </c>
      <c r="C64" s="155">
        <v>1</v>
      </c>
      <c r="D64" s="155"/>
      <c r="E64" s="155"/>
      <c r="F64" s="155"/>
      <c r="G64" s="155"/>
      <c r="H64" s="155">
        <v>6</v>
      </c>
      <c r="I64" s="155"/>
      <c r="J64" s="155"/>
      <c r="K64" s="155">
        <v>8</v>
      </c>
      <c r="L64" s="155"/>
    </row>
    <row r="65" spans="1:12" x14ac:dyDescent="0.25">
      <c r="A65" s="153" t="s">
        <v>308</v>
      </c>
      <c r="B65" s="154" t="s">
        <v>500</v>
      </c>
      <c r="C65" s="155"/>
      <c r="D65" s="155"/>
      <c r="E65" s="155"/>
      <c r="F65" s="155"/>
      <c r="G65" s="155">
        <v>5</v>
      </c>
      <c r="H65" s="155"/>
      <c r="I65" s="155"/>
      <c r="J65" s="155"/>
      <c r="K65" s="155">
        <v>8</v>
      </c>
      <c r="L65" s="155"/>
    </row>
    <row r="66" spans="1:12" x14ac:dyDescent="0.25">
      <c r="A66" s="153" t="s">
        <v>520</v>
      </c>
      <c r="B66" s="154" t="s">
        <v>500</v>
      </c>
      <c r="C66" s="155"/>
      <c r="D66" s="155"/>
      <c r="E66" s="155"/>
      <c r="F66" s="155"/>
      <c r="G66" s="155"/>
      <c r="H66" s="155"/>
      <c r="I66" s="155"/>
      <c r="J66" s="155"/>
      <c r="K66" s="155"/>
      <c r="L66" s="155">
        <v>9</v>
      </c>
    </row>
    <row r="67" spans="1:12" x14ac:dyDescent="0.25">
      <c r="A67" s="153" t="s">
        <v>561</v>
      </c>
      <c r="B67" s="154" t="s">
        <v>490</v>
      </c>
      <c r="C67" s="155">
        <v>1</v>
      </c>
      <c r="D67" s="155"/>
      <c r="E67" s="155"/>
      <c r="F67" s="155"/>
      <c r="G67" s="155"/>
      <c r="H67" s="155"/>
      <c r="I67" s="155"/>
      <c r="J67" s="155"/>
      <c r="K67" s="155"/>
      <c r="L67" s="155"/>
    </row>
    <row r="68" spans="1:12" x14ac:dyDescent="0.25">
      <c r="A68" s="153" t="s">
        <v>582</v>
      </c>
      <c r="B68" s="154" t="s">
        <v>494</v>
      </c>
      <c r="C68" s="155">
        <v>1</v>
      </c>
      <c r="D68" s="155"/>
      <c r="E68" s="155"/>
      <c r="F68" s="155"/>
      <c r="G68" s="155"/>
      <c r="H68" s="155">
        <v>6</v>
      </c>
      <c r="I68" s="155"/>
      <c r="J68" s="155"/>
      <c r="K68" s="155">
        <v>8</v>
      </c>
      <c r="L68" s="155"/>
    </row>
    <row r="69" spans="1:12" x14ac:dyDescent="0.25">
      <c r="A69" s="153" t="s">
        <v>136</v>
      </c>
      <c r="B69" s="154" t="s">
        <v>496</v>
      </c>
      <c r="C69" s="155"/>
      <c r="D69" s="155"/>
      <c r="E69" s="155"/>
      <c r="F69" s="155"/>
      <c r="G69" s="155"/>
      <c r="H69" s="155">
        <v>6</v>
      </c>
      <c r="I69" s="155"/>
      <c r="J69" s="155"/>
      <c r="K69" s="155">
        <v>8</v>
      </c>
      <c r="L69" s="155"/>
    </row>
    <row r="70" spans="1:12" x14ac:dyDescent="0.25">
      <c r="A70" s="153" t="s">
        <v>562</v>
      </c>
      <c r="B70" s="154" t="s">
        <v>497</v>
      </c>
      <c r="C70" s="155"/>
      <c r="D70" s="155">
        <v>2</v>
      </c>
      <c r="E70" s="155"/>
      <c r="F70" s="155"/>
      <c r="G70" s="155"/>
      <c r="H70" s="155"/>
      <c r="I70" s="155"/>
      <c r="J70" s="155"/>
      <c r="K70" s="155">
        <v>8</v>
      </c>
      <c r="L70" s="155"/>
    </row>
    <row r="71" spans="1:12" x14ac:dyDescent="0.25">
      <c r="A71" s="153" t="s">
        <v>563</v>
      </c>
      <c r="B71" s="154" t="s">
        <v>497</v>
      </c>
      <c r="C71" s="155">
        <v>1</v>
      </c>
      <c r="D71" s="155"/>
      <c r="E71" s="155"/>
      <c r="F71" s="155"/>
      <c r="G71" s="155"/>
      <c r="H71" s="155"/>
      <c r="I71" s="155"/>
      <c r="J71" s="155"/>
      <c r="K71" s="155"/>
      <c r="L71" s="155"/>
    </row>
    <row r="72" spans="1:12" x14ac:dyDescent="0.25">
      <c r="A72" s="153" t="s">
        <v>521</v>
      </c>
      <c r="B72" s="154" t="s">
        <v>496</v>
      </c>
      <c r="C72" s="155">
        <v>1</v>
      </c>
      <c r="D72" s="155"/>
      <c r="E72" s="155"/>
      <c r="F72" s="155"/>
      <c r="G72" s="155"/>
      <c r="H72" s="155"/>
      <c r="I72" s="155"/>
      <c r="J72" s="155"/>
      <c r="K72" s="155"/>
      <c r="L72" s="155"/>
    </row>
    <row r="73" spans="1:12" x14ac:dyDescent="0.25">
      <c r="A73" s="153" t="s">
        <v>509</v>
      </c>
      <c r="B73" s="154" t="s">
        <v>497</v>
      </c>
      <c r="C73" s="155">
        <v>1</v>
      </c>
      <c r="D73" s="155"/>
      <c r="E73" s="155"/>
      <c r="F73" s="155"/>
      <c r="G73" s="155"/>
      <c r="H73" s="155">
        <v>6</v>
      </c>
      <c r="I73" s="155"/>
      <c r="J73" s="155"/>
      <c r="K73" s="155">
        <v>8</v>
      </c>
      <c r="L73" s="155"/>
    </row>
    <row r="74" spans="1:12" x14ac:dyDescent="0.25">
      <c r="A74" s="153" t="s">
        <v>309</v>
      </c>
      <c r="B74" s="154" t="s">
        <v>490</v>
      </c>
      <c r="C74" s="155">
        <v>1</v>
      </c>
      <c r="D74" s="155"/>
      <c r="E74" s="155"/>
      <c r="F74" s="155"/>
      <c r="G74" s="155"/>
      <c r="H74" s="155">
        <v>6</v>
      </c>
      <c r="I74" s="155"/>
      <c r="J74" s="155"/>
      <c r="K74" s="155"/>
      <c r="L74" s="155"/>
    </row>
    <row r="75" spans="1:12" x14ac:dyDescent="0.25">
      <c r="A75" s="3" t="s">
        <v>137</v>
      </c>
      <c r="B75" s="154" t="s">
        <v>490</v>
      </c>
      <c r="C75" s="155">
        <v>1</v>
      </c>
      <c r="D75" s="155"/>
      <c r="E75" s="155"/>
      <c r="F75" s="155"/>
      <c r="G75" s="155"/>
      <c r="H75" s="155"/>
      <c r="I75" s="155"/>
      <c r="J75" s="155"/>
      <c r="K75" s="155"/>
      <c r="L75" s="155"/>
    </row>
    <row r="76" spans="1:12" x14ac:dyDescent="0.25">
      <c r="A76" s="3" t="s">
        <v>138</v>
      </c>
      <c r="B76" s="154" t="s">
        <v>494</v>
      </c>
      <c r="C76" s="155"/>
      <c r="D76" s="155"/>
      <c r="E76" s="155">
        <v>3</v>
      </c>
      <c r="F76" s="155"/>
      <c r="G76" s="155"/>
      <c r="H76" s="155"/>
      <c r="I76" s="155"/>
      <c r="J76" s="155"/>
      <c r="K76" s="155"/>
      <c r="L76" s="155"/>
    </row>
    <row r="77" spans="1:12" x14ac:dyDescent="0.25">
      <c r="A77" s="153" t="s">
        <v>522</v>
      </c>
      <c r="B77" s="154" t="s">
        <v>492</v>
      </c>
      <c r="C77" s="155">
        <v>1</v>
      </c>
      <c r="D77" s="155"/>
      <c r="E77" s="155"/>
      <c r="F77" s="155"/>
      <c r="G77" s="155"/>
      <c r="H77" s="155">
        <v>6</v>
      </c>
      <c r="I77" s="155"/>
      <c r="J77" s="155"/>
      <c r="K77" s="155"/>
      <c r="L77" s="155">
        <v>9</v>
      </c>
    </row>
    <row r="78" spans="1:12" x14ac:dyDescent="0.25">
      <c r="A78" s="153" t="s">
        <v>523</v>
      </c>
      <c r="B78" s="154" t="s">
        <v>492</v>
      </c>
      <c r="C78" s="155">
        <v>1</v>
      </c>
      <c r="D78" s="155"/>
      <c r="E78" s="155"/>
      <c r="F78" s="155"/>
      <c r="G78" s="155"/>
      <c r="H78" s="155"/>
      <c r="I78" s="155"/>
      <c r="J78" s="155"/>
      <c r="K78" s="155">
        <v>8</v>
      </c>
      <c r="L78" s="155"/>
    </row>
    <row r="79" spans="1:12" x14ac:dyDescent="0.25">
      <c r="A79" s="3" t="s">
        <v>524</v>
      </c>
      <c r="B79" s="154" t="s">
        <v>490</v>
      </c>
      <c r="C79" s="155"/>
      <c r="D79" s="155"/>
      <c r="E79" s="155">
        <v>3</v>
      </c>
      <c r="F79" s="155"/>
      <c r="G79" s="155"/>
      <c r="H79" s="155"/>
      <c r="I79" s="155"/>
      <c r="J79" s="155"/>
      <c r="K79" s="155"/>
      <c r="L79" s="155"/>
    </row>
    <row r="80" spans="1:12" x14ac:dyDescent="0.25">
      <c r="A80" s="153" t="s">
        <v>512</v>
      </c>
      <c r="B80" s="154" t="s">
        <v>490</v>
      </c>
      <c r="C80" s="155">
        <v>1</v>
      </c>
      <c r="D80" s="155"/>
      <c r="E80" s="155"/>
      <c r="F80" s="155"/>
      <c r="G80" s="155"/>
      <c r="H80" s="155"/>
      <c r="I80" s="155"/>
      <c r="J80" s="155"/>
      <c r="K80" s="155"/>
      <c r="L80" s="155"/>
    </row>
    <row r="81" spans="1:12" x14ac:dyDescent="0.25">
      <c r="A81" s="153" t="s">
        <v>525</v>
      </c>
      <c r="B81" s="154" t="s">
        <v>492</v>
      </c>
      <c r="C81" s="155">
        <v>1</v>
      </c>
      <c r="D81" s="155"/>
      <c r="E81" s="155"/>
      <c r="F81" s="155"/>
      <c r="G81" s="155"/>
      <c r="H81" s="155"/>
      <c r="I81" s="155"/>
      <c r="J81" s="155"/>
      <c r="K81" s="155"/>
      <c r="L81" s="155"/>
    </row>
    <row r="82" spans="1:12" x14ac:dyDescent="0.25">
      <c r="A82" s="153" t="s">
        <v>526</v>
      </c>
      <c r="B82" s="154" t="s">
        <v>497</v>
      </c>
      <c r="C82" s="155">
        <v>1</v>
      </c>
      <c r="D82" s="155"/>
      <c r="E82" s="155"/>
      <c r="F82" s="155"/>
      <c r="G82" s="155"/>
      <c r="H82" s="155"/>
      <c r="I82" s="155"/>
      <c r="J82" s="155"/>
      <c r="K82" s="155"/>
      <c r="L82" s="155"/>
    </row>
    <row r="83" spans="1:12" x14ac:dyDescent="0.25">
      <c r="A83" s="153" t="s">
        <v>527</v>
      </c>
      <c r="B83" s="154" t="s">
        <v>494</v>
      </c>
      <c r="C83" s="155"/>
      <c r="D83" s="155"/>
      <c r="E83" s="155">
        <v>3</v>
      </c>
      <c r="F83" s="155"/>
      <c r="G83" s="155"/>
      <c r="H83" s="155"/>
      <c r="I83" s="155"/>
      <c r="J83" s="155"/>
      <c r="K83" s="155"/>
      <c r="L83" s="155"/>
    </row>
    <row r="84" spans="1:12" x14ac:dyDescent="0.25">
      <c r="A84" s="153" t="s">
        <v>528</v>
      </c>
      <c r="B84" s="154" t="s">
        <v>494</v>
      </c>
      <c r="C84" s="155"/>
      <c r="D84" s="155">
        <v>2</v>
      </c>
      <c r="E84" s="155"/>
      <c r="F84" s="155"/>
      <c r="G84" s="155"/>
      <c r="H84" s="155">
        <v>6</v>
      </c>
      <c r="I84" s="155"/>
      <c r="J84" s="155"/>
      <c r="K84" s="155">
        <v>8</v>
      </c>
      <c r="L84" s="155"/>
    </row>
    <row r="85" spans="1:12" x14ac:dyDescent="0.25">
      <c r="A85" s="153" t="s">
        <v>310</v>
      </c>
      <c r="B85" s="154" t="s">
        <v>497</v>
      </c>
      <c r="C85" s="155"/>
      <c r="D85" s="155"/>
      <c r="E85" s="155"/>
      <c r="F85" s="155"/>
      <c r="G85" s="155"/>
      <c r="H85" s="155"/>
      <c r="I85" s="155"/>
      <c r="J85" s="155"/>
      <c r="K85" s="155"/>
      <c r="L85" s="155">
        <v>9</v>
      </c>
    </row>
    <row r="86" spans="1:12" x14ac:dyDescent="0.25">
      <c r="A86" s="153" t="s">
        <v>311</v>
      </c>
      <c r="B86" s="154" t="s">
        <v>492</v>
      </c>
      <c r="C86" s="155"/>
      <c r="D86" s="155">
        <v>2</v>
      </c>
      <c r="E86" s="155"/>
      <c r="F86" s="155"/>
      <c r="G86" s="155"/>
      <c r="H86" s="155">
        <v>6</v>
      </c>
      <c r="I86" s="155">
        <v>1</v>
      </c>
      <c r="J86" s="155"/>
      <c r="K86" s="155">
        <v>8</v>
      </c>
      <c r="L86" s="155"/>
    </row>
    <row r="87" spans="1:12" x14ac:dyDescent="0.25">
      <c r="A87" s="153" t="s">
        <v>530</v>
      </c>
      <c r="B87" s="154" t="s">
        <v>497</v>
      </c>
      <c r="C87" s="155">
        <v>1</v>
      </c>
      <c r="D87" s="155"/>
      <c r="E87" s="155"/>
      <c r="F87" s="155"/>
      <c r="G87" s="155"/>
      <c r="H87" s="155"/>
      <c r="I87" s="155"/>
      <c r="J87" s="155"/>
      <c r="K87" s="155"/>
      <c r="L87" s="155">
        <v>9</v>
      </c>
    </row>
    <row r="88" spans="1:12" x14ac:dyDescent="0.25">
      <c r="A88" s="3" t="s">
        <v>531</v>
      </c>
      <c r="B88" s="154" t="s">
        <v>497</v>
      </c>
      <c r="C88" s="155">
        <v>1</v>
      </c>
      <c r="D88" s="155"/>
      <c r="E88" s="155"/>
      <c r="F88" s="155"/>
      <c r="G88" s="155"/>
      <c r="H88" s="155"/>
      <c r="I88" s="155"/>
      <c r="J88" s="155"/>
      <c r="K88" s="155"/>
      <c r="L88" s="155"/>
    </row>
    <row r="89" spans="1:12" x14ac:dyDescent="0.25">
      <c r="A89" s="3" t="s">
        <v>139</v>
      </c>
      <c r="B89" s="154" t="s">
        <v>500</v>
      </c>
      <c r="C89" s="155"/>
      <c r="D89" s="155"/>
      <c r="E89" s="155"/>
      <c r="F89" s="155"/>
      <c r="G89" s="155"/>
      <c r="H89" s="155"/>
      <c r="I89" s="155"/>
      <c r="J89" s="155"/>
      <c r="K89" s="155"/>
      <c r="L89" s="155">
        <v>9</v>
      </c>
    </row>
    <row r="90" spans="1:12" x14ac:dyDescent="0.25">
      <c r="A90" s="153" t="s">
        <v>532</v>
      </c>
      <c r="B90" s="154" t="s">
        <v>500</v>
      </c>
      <c r="C90" s="155"/>
      <c r="D90" s="155">
        <v>2</v>
      </c>
      <c r="E90" s="155"/>
      <c r="F90" s="155"/>
      <c r="G90" s="155"/>
      <c r="H90" s="155"/>
      <c r="I90" s="155"/>
      <c r="J90" s="155"/>
      <c r="K90" s="155">
        <v>8</v>
      </c>
      <c r="L90" s="155"/>
    </row>
    <row r="91" spans="1:12" x14ac:dyDescent="0.25">
      <c r="A91" s="3" t="s">
        <v>537</v>
      </c>
      <c r="B91" s="154" t="s">
        <v>496</v>
      </c>
      <c r="C91" s="155"/>
      <c r="D91" s="155">
        <v>2</v>
      </c>
      <c r="E91" s="155"/>
      <c r="F91" s="155"/>
      <c r="G91" s="155"/>
      <c r="H91" s="155">
        <v>6</v>
      </c>
      <c r="I91" s="155"/>
      <c r="J91" s="155"/>
      <c r="K91" s="155">
        <v>8</v>
      </c>
      <c r="L91" s="155"/>
    </row>
    <row r="92" spans="1:12" x14ac:dyDescent="0.25">
      <c r="A92" s="153" t="s">
        <v>140</v>
      </c>
      <c r="B92" s="154" t="s">
        <v>492</v>
      </c>
      <c r="C92" s="155"/>
      <c r="D92" s="155">
        <v>2</v>
      </c>
      <c r="E92" s="155"/>
      <c r="F92" s="155"/>
      <c r="G92" s="155"/>
      <c r="H92" s="155">
        <v>6</v>
      </c>
      <c r="I92" s="155"/>
      <c r="J92" s="155"/>
      <c r="K92" s="155">
        <v>8</v>
      </c>
      <c r="L92" s="155"/>
    </row>
    <row r="93" spans="1:12" x14ac:dyDescent="0.25">
      <c r="A93" s="153" t="s">
        <v>141</v>
      </c>
      <c r="B93" s="154" t="s">
        <v>496</v>
      </c>
      <c r="C93" s="155">
        <v>1</v>
      </c>
      <c r="D93" s="155"/>
      <c r="E93" s="155"/>
      <c r="F93" s="155"/>
      <c r="G93" s="155"/>
      <c r="H93" s="155">
        <v>6</v>
      </c>
      <c r="I93" s="155"/>
      <c r="J93" s="155"/>
      <c r="K93" s="155">
        <v>8</v>
      </c>
      <c r="L93" s="155"/>
    </row>
    <row r="94" spans="1:12" x14ac:dyDescent="0.25">
      <c r="A94" s="153" t="s">
        <v>543</v>
      </c>
      <c r="B94" s="154" t="s">
        <v>494</v>
      </c>
      <c r="C94" s="155">
        <v>1</v>
      </c>
      <c r="D94" s="155"/>
      <c r="E94" s="155"/>
      <c r="F94" s="155"/>
      <c r="G94" s="155"/>
      <c r="H94" s="155"/>
      <c r="I94" s="155"/>
      <c r="J94" s="155"/>
      <c r="K94" s="155"/>
      <c r="L94" s="155"/>
    </row>
    <row r="95" spans="1:12" x14ac:dyDescent="0.25">
      <c r="A95" s="153" t="s">
        <v>544</v>
      </c>
      <c r="B95" s="154" t="s">
        <v>496</v>
      </c>
      <c r="C95" s="155">
        <v>1</v>
      </c>
      <c r="D95" s="155"/>
      <c r="E95" s="155"/>
      <c r="F95" s="155"/>
      <c r="G95" s="155"/>
      <c r="H95" s="155"/>
      <c r="I95" s="155"/>
      <c r="J95" s="155"/>
      <c r="K95" s="155"/>
      <c r="L95" s="155"/>
    </row>
    <row r="96" spans="1:12" x14ac:dyDescent="0.25">
      <c r="A96" s="3" t="s">
        <v>545</v>
      </c>
      <c r="B96" s="154" t="s">
        <v>490</v>
      </c>
      <c r="C96" s="155"/>
      <c r="D96" s="155"/>
      <c r="E96" s="155"/>
      <c r="F96" s="155"/>
      <c r="G96" s="155"/>
      <c r="H96" s="155"/>
      <c r="I96" s="155"/>
      <c r="J96" s="155"/>
      <c r="K96" s="155"/>
      <c r="L96" s="155">
        <v>9</v>
      </c>
    </row>
    <row r="97" spans="1:12" x14ac:dyDescent="0.25">
      <c r="A97" s="153" t="s">
        <v>142</v>
      </c>
      <c r="B97" s="154" t="s">
        <v>490</v>
      </c>
      <c r="C97" s="155">
        <v>1</v>
      </c>
      <c r="D97" s="155"/>
      <c r="E97" s="155"/>
      <c r="F97" s="155"/>
      <c r="G97" s="155"/>
      <c r="H97" s="155"/>
      <c r="I97" s="155"/>
      <c r="J97" s="155"/>
      <c r="K97" s="155"/>
      <c r="L97" s="155"/>
    </row>
    <row r="98" spans="1:12" x14ac:dyDescent="0.25">
      <c r="A98" s="153" t="s">
        <v>546</v>
      </c>
      <c r="B98" s="154" t="s">
        <v>492</v>
      </c>
      <c r="C98" s="155"/>
      <c r="D98" s="155"/>
      <c r="E98" s="155">
        <v>3</v>
      </c>
      <c r="F98" s="155"/>
      <c r="G98" s="155"/>
      <c r="H98" s="155"/>
      <c r="I98" s="155"/>
      <c r="J98" s="155"/>
      <c r="K98" s="155"/>
      <c r="L98" s="155"/>
    </row>
    <row r="99" spans="1:12" x14ac:dyDescent="0.25">
      <c r="A99" s="153" t="s">
        <v>143</v>
      </c>
      <c r="B99" s="154" t="s">
        <v>500</v>
      </c>
      <c r="C99" s="155">
        <v>1</v>
      </c>
      <c r="D99" s="155"/>
      <c r="E99" s="155"/>
      <c r="F99" s="155"/>
      <c r="G99" s="155"/>
      <c r="H99" s="155"/>
      <c r="I99" s="155"/>
      <c r="J99" s="155"/>
      <c r="K99" s="155"/>
      <c r="L99" s="155"/>
    </row>
    <row r="100" spans="1:12" x14ac:dyDescent="0.25">
      <c r="A100" s="153" t="s">
        <v>510</v>
      </c>
      <c r="B100" s="154" t="s">
        <v>494</v>
      </c>
      <c r="C100" s="155">
        <v>1</v>
      </c>
      <c r="D100" s="155"/>
      <c r="E100" s="155"/>
      <c r="F100" s="155"/>
      <c r="G100" s="155"/>
      <c r="H100" s="155"/>
      <c r="I100" s="155"/>
      <c r="J100" s="155"/>
      <c r="K100" s="155">
        <v>8</v>
      </c>
      <c r="L100" s="155"/>
    </row>
    <row r="101" spans="1:12" x14ac:dyDescent="0.25">
      <c r="A101" s="3" t="s">
        <v>553</v>
      </c>
      <c r="B101" s="154" t="s">
        <v>492</v>
      </c>
      <c r="C101" s="155"/>
      <c r="D101" s="155">
        <v>2</v>
      </c>
      <c r="E101" s="155"/>
      <c r="F101" s="155"/>
      <c r="G101" s="155"/>
      <c r="H101" s="155">
        <v>6</v>
      </c>
      <c r="I101" s="155"/>
      <c r="J101" s="155"/>
      <c r="K101" s="155">
        <v>8</v>
      </c>
      <c r="L101" s="155"/>
    </row>
    <row r="102" spans="1:12" x14ac:dyDescent="0.25">
      <c r="A102" s="3" t="s">
        <v>547</v>
      </c>
      <c r="B102" s="154" t="s">
        <v>492</v>
      </c>
      <c r="C102" s="155"/>
      <c r="D102" s="155"/>
      <c r="E102" s="155">
        <v>3</v>
      </c>
      <c r="F102" s="155"/>
      <c r="G102" s="155"/>
      <c r="H102" s="155"/>
      <c r="I102" s="155"/>
      <c r="J102" s="155"/>
      <c r="K102" s="155"/>
      <c r="L102" s="155"/>
    </row>
    <row r="103" spans="1:12" x14ac:dyDescent="0.25">
      <c r="A103" s="153" t="s">
        <v>548</v>
      </c>
      <c r="B103" s="154" t="s">
        <v>497</v>
      </c>
      <c r="C103" s="155">
        <v>1</v>
      </c>
      <c r="D103" s="155"/>
      <c r="E103" s="155"/>
      <c r="F103" s="155"/>
      <c r="G103" s="155"/>
      <c r="H103" s="155"/>
      <c r="I103" s="155"/>
      <c r="J103" s="155"/>
      <c r="K103" s="155"/>
      <c r="L103" s="155"/>
    </row>
    <row r="104" spans="1:12" x14ac:dyDescent="0.25">
      <c r="A104" s="153" t="s">
        <v>549</v>
      </c>
      <c r="B104" s="154" t="s">
        <v>497</v>
      </c>
      <c r="C104" s="155">
        <v>1</v>
      </c>
      <c r="D104" s="155"/>
      <c r="E104" s="155"/>
      <c r="F104" s="155"/>
      <c r="G104" s="155"/>
      <c r="H104" s="155"/>
      <c r="I104" s="155"/>
      <c r="J104" s="155"/>
      <c r="K104" s="155"/>
      <c r="L104" s="155"/>
    </row>
    <row r="105" spans="1:12" x14ac:dyDescent="0.25">
      <c r="A105" s="153" t="s">
        <v>144</v>
      </c>
      <c r="B105" s="154" t="s">
        <v>492</v>
      </c>
      <c r="C105" s="155">
        <v>1</v>
      </c>
      <c r="D105" s="155"/>
      <c r="E105" s="155"/>
      <c r="F105" s="155"/>
      <c r="G105" s="155"/>
      <c r="H105" s="155"/>
      <c r="I105" s="155"/>
      <c r="J105" s="155"/>
      <c r="K105" s="155"/>
      <c r="L105" s="155"/>
    </row>
    <row r="106" spans="1:12" x14ac:dyDescent="0.25">
      <c r="A106" s="153" t="s">
        <v>550</v>
      </c>
      <c r="B106" s="154" t="s">
        <v>490</v>
      </c>
      <c r="C106" s="155">
        <v>1</v>
      </c>
      <c r="D106" s="155"/>
      <c r="E106" s="155"/>
      <c r="F106" s="155"/>
      <c r="G106" s="155"/>
      <c r="H106" s="155"/>
      <c r="I106" s="155"/>
      <c r="J106" s="155"/>
      <c r="K106" s="155"/>
      <c r="L106" s="155"/>
    </row>
    <row r="107" spans="1:12" x14ac:dyDescent="0.25">
      <c r="A107" s="153" t="s">
        <v>551</v>
      </c>
      <c r="B107" s="154" t="s">
        <v>497</v>
      </c>
      <c r="C107" s="155">
        <v>1</v>
      </c>
      <c r="D107" s="155"/>
      <c r="E107" s="155"/>
      <c r="F107" s="155"/>
      <c r="G107" s="155"/>
      <c r="H107" s="155">
        <v>6</v>
      </c>
      <c r="I107" s="155"/>
      <c r="J107" s="155"/>
      <c r="K107" s="155"/>
      <c r="L107" s="155"/>
    </row>
    <row r="108" spans="1:12" x14ac:dyDescent="0.25">
      <c r="A108" s="3" t="s">
        <v>570</v>
      </c>
      <c r="B108" s="154" t="s">
        <v>496</v>
      </c>
      <c r="C108" s="155">
        <v>1</v>
      </c>
      <c r="D108" s="155"/>
      <c r="E108" s="155"/>
      <c r="F108" s="155"/>
      <c r="G108" s="155"/>
      <c r="H108" s="155"/>
      <c r="I108" s="155"/>
      <c r="J108" s="155"/>
      <c r="K108" s="155"/>
      <c r="L108" s="155"/>
    </row>
    <row r="109" spans="1:12" x14ac:dyDescent="0.25">
      <c r="A109" s="3" t="s">
        <v>552</v>
      </c>
      <c r="B109" s="154" t="s">
        <v>500</v>
      </c>
      <c r="C109" s="155">
        <v>1</v>
      </c>
      <c r="D109" s="155"/>
      <c r="E109" s="155"/>
      <c r="F109" s="155"/>
      <c r="G109" s="155"/>
      <c r="H109" s="155"/>
      <c r="I109" s="155"/>
      <c r="J109" s="155"/>
      <c r="K109" s="155"/>
      <c r="L109" s="155"/>
    </row>
    <row r="110" spans="1:12" x14ac:dyDescent="0.25">
      <c r="A110" s="153" t="s">
        <v>572</v>
      </c>
      <c r="B110" s="154" t="s">
        <v>492</v>
      </c>
      <c r="C110" s="155">
        <v>1</v>
      </c>
      <c r="D110" s="155"/>
      <c r="E110" s="155"/>
      <c r="F110" s="155"/>
      <c r="G110" s="155"/>
      <c r="H110" s="155"/>
      <c r="I110" s="155"/>
      <c r="J110" s="155"/>
      <c r="K110" s="155"/>
      <c r="L110" s="155"/>
    </row>
    <row r="111" spans="1:12" x14ac:dyDescent="0.25">
      <c r="A111" s="153" t="s">
        <v>565</v>
      </c>
      <c r="B111" s="154" t="s">
        <v>500</v>
      </c>
      <c r="C111" s="155"/>
      <c r="D111" s="155"/>
      <c r="E111" s="155">
        <v>3</v>
      </c>
      <c r="F111" s="155"/>
      <c r="G111" s="155"/>
      <c r="H111" s="155"/>
      <c r="I111" s="155"/>
      <c r="J111" s="155"/>
      <c r="K111" s="155">
        <v>8</v>
      </c>
      <c r="L111" s="155"/>
    </row>
    <row r="112" spans="1:12" x14ac:dyDescent="0.25">
      <c r="A112" s="3" t="s">
        <v>566</v>
      </c>
      <c r="B112" s="154" t="s">
        <v>497</v>
      </c>
      <c r="C112" s="155"/>
      <c r="D112" s="155"/>
      <c r="E112" s="155">
        <v>3</v>
      </c>
      <c r="F112" s="155"/>
      <c r="G112" s="155"/>
      <c r="H112" s="155"/>
      <c r="I112" s="155"/>
      <c r="J112" s="155"/>
      <c r="K112" s="155"/>
      <c r="L112" s="155"/>
    </row>
    <row r="113" spans="1:12" x14ac:dyDescent="0.25">
      <c r="A113" s="153" t="s">
        <v>145</v>
      </c>
      <c r="B113" s="154" t="s">
        <v>494</v>
      </c>
      <c r="C113" s="155"/>
      <c r="D113" s="155">
        <v>2</v>
      </c>
      <c r="E113" s="155"/>
      <c r="F113" s="155"/>
      <c r="G113" s="155"/>
      <c r="H113" s="155"/>
      <c r="I113" s="155"/>
      <c r="J113" s="155"/>
      <c r="K113" s="155">
        <v>8</v>
      </c>
      <c r="L113" s="155"/>
    </row>
    <row r="114" spans="1:12" x14ac:dyDescent="0.25">
      <c r="A114" s="153" t="s">
        <v>573</v>
      </c>
      <c r="B114" s="154" t="s">
        <v>497</v>
      </c>
      <c r="C114" s="155"/>
      <c r="D114" s="155"/>
      <c r="E114" s="155"/>
      <c r="F114" s="155"/>
      <c r="G114" s="155"/>
      <c r="H114" s="155"/>
      <c r="I114" s="155"/>
      <c r="J114" s="155"/>
      <c r="K114" s="155"/>
      <c r="L114" s="155">
        <v>9</v>
      </c>
    </row>
    <row r="115" spans="1:12" x14ac:dyDescent="0.25">
      <c r="A115" s="153" t="s">
        <v>146</v>
      </c>
      <c r="B115" s="154" t="s">
        <v>492</v>
      </c>
      <c r="C115" s="155">
        <v>1</v>
      </c>
      <c r="D115" s="155"/>
      <c r="E115" s="155"/>
      <c r="F115" s="155"/>
      <c r="G115" s="155"/>
      <c r="H115" s="155">
        <v>6</v>
      </c>
      <c r="I115" s="155"/>
      <c r="J115" s="155"/>
      <c r="K115" s="155">
        <v>8</v>
      </c>
      <c r="L115" s="155"/>
    </row>
    <row r="116" spans="1:12" x14ac:dyDescent="0.25">
      <c r="A116" s="153" t="s">
        <v>567</v>
      </c>
      <c r="B116" s="154" t="s">
        <v>494</v>
      </c>
      <c r="C116" s="155"/>
      <c r="D116" s="155">
        <v>2</v>
      </c>
      <c r="E116" s="155"/>
      <c r="F116" s="155"/>
      <c r="G116" s="155"/>
      <c r="H116" s="155">
        <v>6</v>
      </c>
      <c r="I116" s="155"/>
      <c r="J116" s="155"/>
      <c r="K116" s="155">
        <v>8</v>
      </c>
      <c r="L116" s="155"/>
    </row>
    <row r="117" spans="1:12" x14ac:dyDescent="0.25">
      <c r="A117" s="153" t="s">
        <v>541</v>
      </c>
      <c r="B117" s="154" t="s">
        <v>497</v>
      </c>
      <c r="C117" s="155"/>
      <c r="D117" s="155"/>
      <c r="E117" s="155">
        <v>3</v>
      </c>
      <c r="F117" s="155"/>
      <c r="G117" s="155"/>
      <c r="H117" s="155"/>
      <c r="I117" s="155"/>
      <c r="J117" s="155"/>
      <c r="K117" s="155"/>
      <c r="L117" s="155">
        <v>9</v>
      </c>
    </row>
    <row r="118" spans="1:12" x14ac:dyDescent="0.25">
      <c r="A118" s="153" t="s">
        <v>568</v>
      </c>
      <c r="B118" s="154" t="s">
        <v>496</v>
      </c>
      <c r="C118" s="155"/>
      <c r="D118" s="155">
        <v>2</v>
      </c>
      <c r="E118" s="155"/>
      <c r="F118" s="155"/>
      <c r="G118" s="155"/>
      <c r="H118" s="155"/>
      <c r="I118" s="155"/>
      <c r="J118" s="155"/>
      <c r="K118" s="155">
        <v>8</v>
      </c>
      <c r="L118" s="155"/>
    </row>
    <row r="119" spans="1:12" x14ac:dyDescent="0.25">
      <c r="A119" s="3" t="s">
        <v>574</v>
      </c>
      <c r="B119" s="154" t="s">
        <v>496</v>
      </c>
      <c r="C119" s="155">
        <v>1</v>
      </c>
      <c r="D119" s="155"/>
      <c r="E119" s="155"/>
      <c r="F119" s="155"/>
      <c r="G119" s="155"/>
      <c r="H119" s="155"/>
      <c r="I119" s="155"/>
      <c r="J119" s="155"/>
      <c r="K119" s="155"/>
      <c r="L119" s="155"/>
    </row>
    <row r="120" spans="1:12" x14ac:dyDescent="0.25">
      <c r="A120" s="3" t="s">
        <v>575</v>
      </c>
      <c r="B120" s="154" t="s">
        <v>496</v>
      </c>
      <c r="C120" s="155">
        <v>1</v>
      </c>
      <c r="D120" s="155"/>
      <c r="E120" s="155"/>
      <c r="F120" s="155"/>
      <c r="G120" s="155"/>
      <c r="H120" s="155"/>
      <c r="I120" s="155"/>
      <c r="J120" s="155"/>
      <c r="K120" s="155">
        <v>8</v>
      </c>
      <c r="L120" s="155"/>
    </row>
    <row r="121" spans="1:12" x14ac:dyDescent="0.25">
      <c r="A121" s="153" t="s">
        <v>576</v>
      </c>
      <c r="B121" s="154" t="s">
        <v>500</v>
      </c>
      <c r="C121" s="155"/>
      <c r="D121" s="155"/>
      <c r="E121" s="155">
        <v>3</v>
      </c>
      <c r="F121" s="155"/>
      <c r="G121" s="155"/>
      <c r="H121" s="155"/>
      <c r="I121" s="155"/>
      <c r="J121" s="155"/>
      <c r="K121" s="155"/>
      <c r="L121" s="155"/>
    </row>
    <row r="122" spans="1:12" x14ac:dyDescent="0.25">
      <c r="A122" s="153" t="s">
        <v>577</v>
      </c>
      <c r="B122" s="154" t="s">
        <v>490</v>
      </c>
      <c r="C122" s="155"/>
      <c r="D122" s="155"/>
      <c r="E122" s="155">
        <v>3</v>
      </c>
      <c r="F122" s="155"/>
      <c r="G122" s="155"/>
      <c r="H122" s="155">
        <v>6</v>
      </c>
      <c r="I122" s="155"/>
      <c r="J122" s="155"/>
      <c r="K122" s="155">
        <v>8</v>
      </c>
      <c r="L122" s="155"/>
    </row>
    <row r="123" spans="1:12" x14ac:dyDescent="0.25">
      <c r="A123" s="153" t="s">
        <v>147</v>
      </c>
      <c r="B123" s="154" t="s">
        <v>496</v>
      </c>
      <c r="C123" s="155"/>
      <c r="D123" s="155">
        <v>2</v>
      </c>
      <c r="E123" s="155"/>
      <c r="F123" s="155"/>
      <c r="G123" s="155"/>
      <c r="H123" s="155">
        <v>6</v>
      </c>
      <c r="I123" s="155">
        <v>1</v>
      </c>
      <c r="J123" s="155"/>
      <c r="K123" s="155">
        <v>8</v>
      </c>
      <c r="L123" s="155"/>
    </row>
    <row r="124" spans="1:12" x14ac:dyDescent="0.25">
      <c r="A124" s="3" t="s">
        <v>578</v>
      </c>
      <c r="B124" s="154" t="s">
        <v>492</v>
      </c>
      <c r="C124" s="155">
        <v>1</v>
      </c>
      <c r="D124" s="155"/>
      <c r="E124" s="155"/>
      <c r="F124" s="155"/>
      <c r="G124" s="155"/>
      <c r="H124" s="155">
        <v>6</v>
      </c>
      <c r="I124" s="155"/>
      <c r="J124" s="155"/>
      <c r="K124" s="155">
        <v>8</v>
      </c>
      <c r="L124" s="155"/>
    </row>
    <row r="125" spans="1:12" x14ac:dyDescent="0.25">
      <c r="A125" s="3" t="s">
        <v>579</v>
      </c>
      <c r="B125" s="154" t="s">
        <v>494</v>
      </c>
      <c r="C125" s="155">
        <v>1</v>
      </c>
      <c r="D125" s="155"/>
      <c r="E125" s="155"/>
      <c r="F125" s="155"/>
      <c r="G125" s="155"/>
      <c r="H125" s="155">
        <v>6</v>
      </c>
      <c r="I125" s="155"/>
      <c r="J125" s="155"/>
      <c r="K125" s="155">
        <v>8</v>
      </c>
      <c r="L125" s="155"/>
    </row>
    <row r="126" spans="1:12" x14ac:dyDescent="0.25">
      <c r="A126" s="3" t="s">
        <v>580</v>
      </c>
      <c r="B126" s="154" t="s">
        <v>500</v>
      </c>
      <c r="C126" s="155">
        <v>1</v>
      </c>
      <c r="D126" s="155"/>
      <c r="E126" s="155"/>
      <c r="F126" s="155"/>
      <c r="G126" s="155"/>
      <c r="H126" s="155">
        <v>6</v>
      </c>
      <c r="I126" s="155"/>
      <c r="J126" s="155"/>
      <c r="K126" s="155"/>
      <c r="L126" s="155"/>
    </row>
    <row r="127" spans="1:12" x14ac:dyDescent="0.25">
      <c r="A127" s="3" t="s">
        <v>581</v>
      </c>
      <c r="B127" s="154" t="s">
        <v>490</v>
      </c>
      <c r="C127" s="155"/>
      <c r="D127" s="155"/>
      <c r="E127" s="155"/>
      <c r="F127" s="155"/>
      <c r="G127" s="155"/>
      <c r="H127" s="155">
        <v>6</v>
      </c>
      <c r="I127" s="155"/>
      <c r="J127" s="155"/>
      <c r="K127" s="155">
        <v>8</v>
      </c>
      <c r="L127" s="155"/>
    </row>
    <row r="128" spans="1:12" x14ac:dyDescent="0.25">
      <c r="A128" s="3" t="s">
        <v>312</v>
      </c>
      <c r="B128" s="154" t="s">
        <v>497</v>
      </c>
      <c r="C128" s="155">
        <v>1</v>
      </c>
      <c r="D128" s="155"/>
      <c r="E128" s="155"/>
      <c r="F128" s="155"/>
      <c r="G128" s="155"/>
      <c r="H128" s="155"/>
      <c r="I128" s="155"/>
      <c r="J128" s="155"/>
      <c r="K128" s="155">
        <v>8</v>
      </c>
      <c r="L128" s="155"/>
    </row>
    <row r="129" spans="1:12" x14ac:dyDescent="0.25">
      <c r="A129" s="3" t="s">
        <v>313</v>
      </c>
      <c r="B129" s="154" t="s">
        <v>500</v>
      </c>
      <c r="C129" s="155">
        <v>1</v>
      </c>
      <c r="D129" s="155"/>
      <c r="E129" s="155"/>
      <c r="F129" s="155"/>
      <c r="G129" s="155"/>
      <c r="H129" s="155"/>
      <c r="I129" s="155"/>
      <c r="J129" s="155"/>
      <c r="K129" s="155"/>
      <c r="L129" s="155"/>
    </row>
    <row r="130" spans="1:12" x14ac:dyDescent="0.25">
      <c r="A130" s="153" t="s">
        <v>148</v>
      </c>
      <c r="B130" s="154" t="s">
        <v>492</v>
      </c>
      <c r="C130" s="155">
        <v>1</v>
      </c>
      <c r="D130" s="155"/>
      <c r="E130" s="155"/>
      <c r="F130" s="155"/>
      <c r="G130" s="155"/>
      <c r="H130" s="155"/>
      <c r="I130" s="155"/>
      <c r="J130" s="155"/>
      <c r="K130" s="155"/>
      <c r="L130" s="155"/>
    </row>
    <row r="131" spans="1:12" x14ac:dyDescent="0.25">
      <c r="A131" s="153" t="s">
        <v>511</v>
      </c>
      <c r="B131" s="154" t="s">
        <v>497</v>
      </c>
      <c r="C131" s="155">
        <v>1</v>
      </c>
      <c r="D131" s="155"/>
      <c r="E131" s="155"/>
      <c r="F131" s="155"/>
      <c r="G131" s="155"/>
      <c r="H131" s="155"/>
      <c r="I131" s="155"/>
      <c r="J131" s="155"/>
      <c r="K131" s="155"/>
      <c r="L131" s="155"/>
    </row>
    <row r="132" spans="1:12" x14ac:dyDescent="0.25">
      <c r="A132" s="153" t="s">
        <v>314</v>
      </c>
      <c r="B132" s="154" t="s">
        <v>500</v>
      </c>
      <c r="C132" s="155">
        <v>1</v>
      </c>
      <c r="D132" s="155"/>
      <c r="E132" s="155"/>
      <c r="F132" s="155"/>
      <c r="G132" s="155"/>
      <c r="H132" s="155"/>
      <c r="I132" s="155"/>
      <c r="J132" s="155"/>
      <c r="K132" s="155"/>
      <c r="L132" s="155"/>
    </row>
    <row r="133" spans="1:12" x14ac:dyDescent="0.25">
      <c r="A133" s="3" t="s">
        <v>571</v>
      </c>
      <c r="B133" s="154" t="s">
        <v>492</v>
      </c>
      <c r="C133" s="155"/>
      <c r="D133" s="155">
        <v>2</v>
      </c>
      <c r="E133" s="155"/>
      <c r="F133" s="155"/>
      <c r="G133" s="155"/>
      <c r="H133" s="155">
        <v>6</v>
      </c>
      <c r="I133" s="155"/>
      <c r="J133" s="155"/>
      <c r="K133" s="155">
        <v>8</v>
      </c>
      <c r="L133" s="155"/>
    </row>
  </sheetData>
  <sheetProtection algorithmName="SHA-512" hashValue="JVBciSYVQLEQekZvW9VHWX3u4g+5r3S+H5bELDFH/w0Xxm+3vnRbtmyiGtyiXBW8hzsNL9+YElghnhYs5bI2HA==" saltValue="7OCX1ubNV8E/4+dNT/S4TA==" spinCount="100000" sheet="1" objects="1" scenarios="1"/>
  <autoFilter ref="A3:L3" xr:uid="{C57ED771-5258-410D-B64B-BA78A6564EC4}"/>
  <sortState xmlns:xlrd2="http://schemas.microsoft.com/office/spreadsheetml/2017/richdata2" ref="A5:L133">
    <sortCondition ref="A5:A133"/>
  </sortState>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dimension ref="A1:G18"/>
  <sheetViews>
    <sheetView showGridLines="0" zoomScaleNormal="100" workbookViewId="0">
      <selection activeCell="B14" sqref="B14"/>
    </sheetView>
  </sheetViews>
  <sheetFormatPr defaultColWidth="8.77734375" defaultRowHeight="13.8" x14ac:dyDescent="0.25"/>
  <cols>
    <col min="1" max="1" width="37" style="16" customWidth="1"/>
    <col min="2" max="6" width="23.77734375" style="16" customWidth="1"/>
    <col min="7" max="16384" width="8.77734375" style="16"/>
  </cols>
  <sheetData>
    <row r="1" spans="1:7" ht="17.399999999999999" x14ac:dyDescent="0.25">
      <c r="A1" s="17" t="s">
        <v>320</v>
      </c>
    </row>
    <row r="2" spans="1:7" x14ac:dyDescent="0.25">
      <c r="A2" s="40"/>
      <c r="B2" s="40"/>
      <c r="C2" s="40"/>
      <c r="D2" s="40"/>
      <c r="E2" s="40"/>
      <c r="F2" s="40"/>
      <c r="G2" s="40"/>
    </row>
    <row r="3" spans="1:7" ht="26.4" x14ac:dyDescent="0.25">
      <c r="A3" s="160" t="s">
        <v>326</v>
      </c>
      <c r="B3" s="161" t="s">
        <v>115</v>
      </c>
      <c r="C3" s="162" t="s">
        <v>91</v>
      </c>
      <c r="D3" s="162" t="s">
        <v>149</v>
      </c>
      <c r="E3" s="162" t="s">
        <v>150</v>
      </c>
      <c r="F3" s="162" t="s">
        <v>151</v>
      </c>
      <c r="G3" s="40"/>
    </row>
    <row r="4" spans="1:7" x14ac:dyDescent="0.25">
      <c r="A4" s="149" t="s">
        <v>152</v>
      </c>
      <c r="B4" s="163">
        <f>Lijsten!F38</f>
        <v>76.2</v>
      </c>
      <c r="C4" s="163">
        <f>Lijsten!F45</f>
        <v>81</v>
      </c>
      <c r="D4" s="163">
        <f>Lijsten!F52</f>
        <v>81</v>
      </c>
      <c r="E4" s="163">
        <f>Lijsten!F59</f>
        <v>81</v>
      </c>
      <c r="F4" s="163">
        <f>Lijsten!F66</f>
        <v>81.600000000000009</v>
      </c>
      <c r="G4" s="40"/>
    </row>
    <row r="5" spans="1:7" x14ac:dyDescent="0.25">
      <c r="A5" s="149" t="s">
        <v>153</v>
      </c>
      <c r="B5" s="163">
        <f>Lijsten!F39</f>
        <v>85.199999999999989</v>
      </c>
      <c r="C5" s="163">
        <f>Lijsten!F46</f>
        <v>96.600000000000009</v>
      </c>
      <c r="D5" s="163">
        <f>Lijsten!F53</f>
        <v>102.6</v>
      </c>
      <c r="E5" s="163">
        <f>Lijsten!F60</f>
        <v>109.80000000000001</v>
      </c>
      <c r="F5" s="163">
        <f>Lijsten!F67</f>
        <v>122.4</v>
      </c>
      <c r="G5" s="40"/>
    </row>
    <row r="6" spans="1:7" x14ac:dyDescent="0.25">
      <c r="A6" s="149" t="s">
        <v>154</v>
      </c>
      <c r="B6" s="163">
        <f>Lijsten!F40</f>
        <v>101.39999999999999</v>
      </c>
      <c r="C6" s="163">
        <f>Lijsten!F47</f>
        <v>108</v>
      </c>
      <c r="D6" s="163">
        <f>Lijsten!F54</f>
        <v>114</v>
      </c>
      <c r="E6" s="163">
        <f>Lijsten!F61</f>
        <v>121.2</v>
      </c>
      <c r="F6" s="163">
        <f>Lijsten!F68</f>
        <v>134.4</v>
      </c>
      <c r="G6" s="40"/>
    </row>
    <row r="7" spans="1:7" x14ac:dyDescent="0.25">
      <c r="A7" s="149" t="s">
        <v>155</v>
      </c>
      <c r="B7" s="163">
        <f>Lijsten!F41</f>
        <v>112.8</v>
      </c>
      <c r="C7" s="163">
        <f>Lijsten!F48</f>
        <v>119.4</v>
      </c>
      <c r="D7" s="163">
        <f>Lijsten!F55</f>
        <v>125.39999999999999</v>
      </c>
      <c r="E7" s="163">
        <f>Lijsten!F62</f>
        <v>132.6</v>
      </c>
      <c r="F7" s="163">
        <f>Lijsten!F69</f>
        <v>145.80000000000001</v>
      </c>
      <c r="G7" s="40"/>
    </row>
    <row r="8" spans="1:7" x14ac:dyDescent="0.25">
      <c r="A8" s="149" t="s">
        <v>156</v>
      </c>
      <c r="B8" s="163">
        <f>Lijsten!F42</f>
        <v>130.19999999999999</v>
      </c>
      <c r="C8" s="163">
        <f>Lijsten!F49</f>
        <v>136.79999999999998</v>
      </c>
      <c r="D8" s="163">
        <f>Lijsten!F56</f>
        <v>142.79999999999998</v>
      </c>
      <c r="E8" s="163">
        <f>Lijsten!F63</f>
        <v>150</v>
      </c>
      <c r="F8" s="163">
        <f>Lijsten!F70</f>
        <v>163.20000000000002</v>
      </c>
      <c r="G8" s="40"/>
    </row>
    <row r="9" spans="1:7" x14ac:dyDescent="0.25">
      <c r="A9" s="149" t="s">
        <v>157</v>
      </c>
      <c r="B9" s="163">
        <f>Lijsten!F43</f>
        <v>154.80000000000001</v>
      </c>
      <c r="C9" s="163">
        <f>Lijsten!F50</f>
        <v>161.4</v>
      </c>
      <c r="D9" s="163">
        <f>Lijsten!F57</f>
        <v>167.4</v>
      </c>
      <c r="E9" s="163">
        <f>Lijsten!F64</f>
        <v>175.2</v>
      </c>
      <c r="F9" s="163">
        <f>Lijsten!F71</f>
        <v>189</v>
      </c>
      <c r="G9" s="40"/>
    </row>
    <row r="10" spans="1:7" x14ac:dyDescent="0.25">
      <c r="A10" s="149" t="s">
        <v>158</v>
      </c>
      <c r="B10" s="163">
        <f>Lijsten!F44</f>
        <v>218.4</v>
      </c>
      <c r="C10" s="163">
        <f>Lijsten!F51</f>
        <v>225</v>
      </c>
      <c r="D10" s="163">
        <f>Lijsten!F58</f>
        <v>229.8</v>
      </c>
      <c r="E10" s="163">
        <f>Lijsten!F65</f>
        <v>237</v>
      </c>
      <c r="F10" s="163">
        <f>Lijsten!F72</f>
        <v>252</v>
      </c>
      <c r="G10" s="40"/>
    </row>
    <row r="11" spans="1:7" x14ac:dyDescent="0.25">
      <c r="A11" s="164" t="s">
        <v>324</v>
      </c>
      <c r="B11" s="165"/>
      <c r="C11" s="165"/>
      <c r="D11" s="165"/>
      <c r="E11" s="165"/>
      <c r="F11" s="165"/>
      <c r="G11" s="40"/>
    </row>
    <row r="12" spans="1:7" x14ac:dyDescent="0.25">
      <c r="A12" s="166" t="s">
        <v>599</v>
      </c>
      <c r="B12" s="167">
        <v>3.5200000000000002E-2</v>
      </c>
      <c r="C12" s="167">
        <v>3.6900000000000002E-2</v>
      </c>
      <c r="D12" s="167">
        <v>3.8699999999999998E-2</v>
      </c>
      <c r="E12" s="167">
        <v>0.04</v>
      </c>
      <c r="F12" s="167">
        <v>4.2200000000000001E-2</v>
      </c>
      <c r="G12" s="40"/>
    </row>
    <row r="13" spans="1:7" ht="26.4" x14ac:dyDescent="0.25">
      <c r="A13" s="166" t="s">
        <v>325</v>
      </c>
      <c r="B13" s="166">
        <f>91.97*(1+B12)</f>
        <v>95.207343999999992</v>
      </c>
      <c r="C13" s="166">
        <f>100.39*(1+C12)</f>
        <v>104.09439099999999</v>
      </c>
      <c r="D13" s="166">
        <f>103.74*(1+D12)</f>
        <v>107.75473799999999</v>
      </c>
      <c r="E13" s="166">
        <f>131.61*(1+E12)</f>
        <v>136.87440000000001</v>
      </c>
      <c r="F13" s="166">
        <f>142.58*(1+F12)</f>
        <v>148.59687600000001</v>
      </c>
      <c r="G13" s="40"/>
    </row>
    <row r="14" spans="1:7" x14ac:dyDescent="0.25">
      <c r="A14" s="168" t="s">
        <v>321</v>
      </c>
      <c r="B14" s="168">
        <v>95</v>
      </c>
      <c r="C14" s="168">
        <v>104</v>
      </c>
      <c r="D14" s="168">
        <v>108</v>
      </c>
      <c r="E14" s="168">
        <v>137</v>
      </c>
      <c r="F14" s="168">
        <v>159</v>
      </c>
      <c r="G14" s="40"/>
    </row>
    <row r="15" spans="1:7" x14ac:dyDescent="0.25">
      <c r="A15" s="40"/>
      <c r="B15" s="63"/>
      <c r="C15" s="63"/>
      <c r="D15" s="63"/>
      <c r="E15" s="63"/>
      <c r="F15" s="63"/>
      <c r="G15" s="40"/>
    </row>
    <row r="16" spans="1:7" x14ac:dyDescent="0.25">
      <c r="A16" s="40" t="s">
        <v>322</v>
      </c>
      <c r="B16" s="63"/>
      <c r="C16" s="63"/>
      <c r="D16" s="63"/>
      <c r="E16" s="63"/>
      <c r="F16" s="63"/>
      <c r="G16" s="40"/>
    </row>
    <row r="17" spans="1:7" x14ac:dyDescent="0.25">
      <c r="A17" s="40" t="s">
        <v>323</v>
      </c>
      <c r="B17" s="63"/>
      <c r="C17" s="63"/>
      <c r="D17" s="63"/>
      <c r="E17" s="63"/>
      <c r="F17" s="63"/>
      <c r="G17" s="40"/>
    </row>
    <row r="18" spans="1:7" x14ac:dyDescent="0.25">
      <c r="A18" s="40"/>
      <c r="B18" s="40"/>
      <c r="C18" s="40"/>
      <c r="D18" s="40"/>
      <c r="E18" s="40"/>
      <c r="F18" s="40"/>
      <c r="G18" s="40"/>
    </row>
  </sheetData>
  <sheetProtection algorithmName="SHA-512" hashValue="PoxdWB2GU4O88crXUpZivMBmpkch1FuSfIk9///IMnYwEf3uxcKLgTZVryHgubbs+jBRfEt0q6n7epQi2c73rQ==" saltValue="0ATQNxevpTFsNBzVzQg/Z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dimension ref="A1:E118"/>
  <sheetViews>
    <sheetView showGridLines="0" zoomScaleNormal="100" workbookViewId="0">
      <pane ySplit="6" topLeftCell="A7" activePane="bottomLeft" state="frozen"/>
      <selection pane="bottomLeft" activeCell="E21" sqref="E21"/>
    </sheetView>
  </sheetViews>
  <sheetFormatPr defaultColWidth="8.77734375" defaultRowHeight="13.2" x14ac:dyDescent="0.25"/>
  <cols>
    <col min="1" max="1" width="17.44140625" style="40" customWidth="1"/>
    <col min="2" max="2" width="50" style="40" bestFit="1" customWidth="1"/>
    <col min="3" max="3" width="21.21875" style="40" bestFit="1" customWidth="1"/>
    <col min="4" max="4" width="8.77734375" style="40"/>
    <col min="5" max="5" width="78.77734375" style="40" customWidth="1"/>
    <col min="6" max="16384" width="8.77734375" style="40"/>
  </cols>
  <sheetData>
    <row r="1" spans="1:5" x14ac:dyDescent="0.25">
      <c r="A1" s="12" t="s">
        <v>483</v>
      </c>
    </row>
    <row r="2" spans="1:5" x14ac:dyDescent="0.25">
      <c r="A2" s="169"/>
    </row>
    <row r="3" spans="1:5" x14ac:dyDescent="0.25">
      <c r="A3" s="13" t="s">
        <v>484</v>
      </c>
    </row>
    <row r="4" spans="1:5" x14ac:dyDescent="0.25">
      <c r="A4" s="89" t="s">
        <v>485</v>
      </c>
    </row>
    <row r="5" spans="1:5" ht="13.8" thickBot="1" x14ac:dyDescent="0.3">
      <c r="A5" s="89"/>
    </row>
    <row r="6" spans="1:5" s="152" customFormat="1" ht="40.200000000000003" thickBot="1" x14ac:dyDescent="0.3">
      <c r="A6" s="10" t="s">
        <v>342</v>
      </c>
      <c r="B6" s="6" t="s">
        <v>343</v>
      </c>
      <c r="C6" s="7" t="s">
        <v>344</v>
      </c>
      <c r="E6" s="11" t="s">
        <v>482</v>
      </c>
    </row>
    <row r="7" spans="1:5" ht="13.8" thickBot="1" x14ac:dyDescent="0.3">
      <c r="A7" s="14" t="s">
        <v>345</v>
      </c>
      <c r="B7" s="8" t="s">
        <v>347</v>
      </c>
      <c r="C7" s="9" t="s">
        <v>348</v>
      </c>
    </row>
    <row r="8" spans="1:5" ht="13.8" thickBot="1" x14ac:dyDescent="0.3">
      <c r="A8" s="14"/>
      <c r="B8" s="8" t="s">
        <v>350</v>
      </c>
      <c r="C8" s="170"/>
    </row>
    <row r="9" spans="1:5" ht="13.8" thickBot="1" x14ac:dyDescent="0.3">
      <c r="A9" s="14" t="s">
        <v>346</v>
      </c>
      <c r="B9" s="8" t="s">
        <v>351</v>
      </c>
      <c r="C9" s="9" t="s">
        <v>349</v>
      </c>
    </row>
    <row r="10" spans="1:5" ht="13.8" thickBot="1" x14ac:dyDescent="0.3">
      <c r="A10" s="171"/>
      <c r="B10" s="8" t="s">
        <v>352</v>
      </c>
      <c r="C10" s="172"/>
    </row>
    <row r="11" spans="1:5" ht="13.8" thickBot="1" x14ac:dyDescent="0.3">
      <c r="A11" s="171"/>
      <c r="B11" s="8" t="s">
        <v>353</v>
      </c>
      <c r="C11" s="172"/>
    </row>
    <row r="12" spans="1:5" ht="13.8" thickBot="1" x14ac:dyDescent="0.3">
      <c r="A12" s="171"/>
      <c r="B12" s="8" t="s">
        <v>354</v>
      </c>
      <c r="C12" s="172"/>
    </row>
    <row r="13" spans="1:5" ht="13.8" thickBot="1" x14ac:dyDescent="0.3">
      <c r="A13" s="171"/>
      <c r="B13" s="8" t="s">
        <v>355</v>
      </c>
      <c r="C13" s="172"/>
    </row>
    <row r="14" spans="1:5" ht="13.8" thickBot="1" x14ac:dyDescent="0.3">
      <c r="A14" s="171"/>
      <c r="B14" s="8" t="s">
        <v>356</v>
      </c>
      <c r="C14" s="172"/>
    </row>
    <row r="15" spans="1:5" ht="13.8" thickBot="1" x14ac:dyDescent="0.3">
      <c r="A15" s="173"/>
      <c r="B15" s="8" t="s">
        <v>357</v>
      </c>
      <c r="C15" s="174"/>
    </row>
    <row r="16" spans="1:5" ht="13.8" thickBot="1" x14ac:dyDescent="0.3">
      <c r="A16" s="14" t="s">
        <v>358</v>
      </c>
      <c r="B16" s="8" t="s">
        <v>360</v>
      </c>
      <c r="C16" s="9" t="s">
        <v>361</v>
      </c>
    </row>
    <row r="17" spans="1:3" ht="13.8" thickBot="1" x14ac:dyDescent="0.3">
      <c r="A17" s="14"/>
      <c r="B17" s="8" t="s">
        <v>363</v>
      </c>
      <c r="C17" s="170"/>
    </row>
    <row r="18" spans="1:3" ht="13.8" thickBot="1" x14ac:dyDescent="0.3">
      <c r="A18" s="14" t="s">
        <v>359</v>
      </c>
      <c r="B18" s="8" t="s">
        <v>364</v>
      </c>
      <c r="C18" s="9" t="s">
        <v>362</v>
      </c>
    </row>
    <row r="19" spans="1:3" ht="13.8" thickBot="1" x14ac:dyDescent="0.3">
      <c r="A19" s="171"/>
      <c r="B19" s="8" t="s">
        <v>365</v>
      </c>
      <c r="C19" s="172"/>
    </row>
    <row r="20" spans="1:3" ht="13.8" thickBot="1" x14ac:dyDescent="0.3">
      <c r="A20" s="171"/>
      <c r="B20" s="8" t="s">
        <v>366</v>
      </c>
      <c r="C20" s="172"/>
    </row>
    <row r="21" spans="1:3" ht="13.8" thickBot="1" x14ac:dyDescent="0.3">
      <c r="A21" s="171"/>
      <c r="B21" s="8" t="s">
        <v>367</v>
      </c>
      <c r="C21" s="172"/>
    </row>
    <row r="22" spans="1:3" ht="13.8" thickBot="1" x14ac:dyDescent="0.3">
      <c r="A22" s="171"/>
      <c r="B22" s="8" t="s">
        <v>368</v>
      </c>
      <c r="C22" s="172"/>
    </row>
    <row r="23" spans="1:3" ht="13.8" thickBot="1" x14ac:dyDescent="0.3">
      <c r="A23" s="171"/>
      <c r="B23" s="8" t="s">
        <v>369</v>
      </c>
      <c r="C23" s="172"/>
    </row>
    <row r="24" spans="1:3" ht="13.8" thickBot="1" x14ac:dyDescent="0.3">
      <c r="A24" s="171"/>
      <c r="B24" s="8" t="s">
        <v>370</v>
      </c>
      <c r="C24" s="172"/>
    </row>
    <row r="25" spans="1:3" ht="13.8" thickBot="1" x14ac:dyDescent="0.3">
      <c r="A25" s="171"/>
      <c r="B25" s="8" t="s">
        <v>371</v>
      </c>
      <c r="C25" s="172"/>
    </row>
    <row r="26" spans="1:3" ht="13.8" thickBot="1" x14ac:dyDescent="0.3">
      <c r="A26" s="171"/>
      <c r="B26" s="8" t="s">
        <v>372</v>
      </c>
      <c r="C26" s="172"/>
    </row>
    <row r="27" spans="1:3" ht="13.8" thickBot="1" x14ac:dyDescent="0.3">
      <c r="A27" s="171"/>
      <c r="B27" s="8" t="s">
        <v>373</v>
      </c>
      <c r="C27" s="172"/>
    </row>
    <row r="28" spans="1:3" ht="13.8" thickBot="1" x14ac:dyDescent="0.3">
      <c r="A28" s="171"/>
      <c r="B28" s="8" t="s">
        <v>374</v>
      </c>
      <c r="C28" s="172"/>
    </row>
    <row r="29" spans="1:3" ht="13.8" thickBot="1" x14ac:dyDescent="0.3">
      <c r="A29" s="171"/>
      <c r="B29" s="8" t="s">
        <v>375</v>
      </c>
      <c r="C29" s="172"/>
    </row>
    <row r="30" spans="1:3" ht="13.8" thickBot="1" x14ac:dyDescent="0.3">
      <c r="A30" s="171"/>
      <c r="B30" s="8" t="s">
        <v>376</v>
      </c>
      <c r="C30" s="172"/>
    </row>
    <row r="31" spans="1:3" ht="13.8" thickBot="1" x14ac:dyDescent="0.3">
      <c r="A31" s="171"/>
      <c r="B31" s="8" t="s">
        <v>377</v>
      </c>
      <c r="C31" s="172"/>
    </row>
    <row r="32" spans="1:3" ht="13.8" thickBot="1" x14ac:dyDescent="0.3">
      <c r="A32" s="171"/>
      <c r="B32" s="8" t="s">
        <v>378</v>
      </c>
      <c r="C32" s="172"/>
    </row>
    <row r="33" spans="1:3" ht="13.8" thickBot="1" x14ac:dyDescent="0.3">
      <c r="A33" s="171"/>
      <c r="B33" s="8" t="s">
        <v>379</v>
      </c>
      <c r="C33" s="172"/>
    </row>
    <row r="34" spans="1:3" ht="13.8" thickBot="1" x14ac:dyDescent="0.3">
      <c r="A34" s="171"/>
      <c r="B34" s="8" t="s">
        <v>380</v>
      </c>
      <c r="C34" s="172"/>
    </row>
    <row r="35" spans="1:3" ht="13.8" thickBot="1" x14ac:dyDescent="0.3">
      <c r="A35" s="173"/>
      <c r="B35" s="8" t="s">
        <v>368</v>
      </c>
      <c r="C35" s="174"/>
    </row>
    <row r="36" spans="1:3" ht="13.8" thickBot="1" x14ac:dyDescent="0.3">
      <c r="A36" s="14" t="s">
        <v>381</v>
      </c>
      <c r="B36" s="8" t="s">
        <v>383</v>
      </c>
      <c r="C36" s="9" t="s">
        <v>384</v>
      </c>
    </row>
    <row r="37" spans="1:3" ht="13.8" thickBot="1" x14ac:dyDescent="0.3">
      <c r="A37" s="14"/>
      <c r="B37" s="8" t="s">
        <v>386</v>
      </c>
      <c r="C37" s="170"/>
    </row>
    <row r="38" spans="1:3" ht="13.8" thickBot="1" x14ac:dyDescent="0.3">
      <c r="A38" s="14" t="s">
        <v>382</v>
      </c>
      <c r="B38" s="8" t="s">
        <v>387</v>
      </c>
      <c r="C38" s="9" t="s">
        <v>385</v>
      </c>
    </row>
    <row r="39" spans="1:3" ht="13.8" thickBot="1" x14ac:dyDescent="0.3">
      <c r="A39" s="171"/>
      <c r="B39" s="8" t="s">
        <v>388</v>
      </c>
      <c r="C39" s="172"/>
    </row>
    <row r="40" spans="1:3" ht="13.8" thickBot="1" x14ac:dyDescent="0.3">
      <c r="A40" s="171"/>
      <c r="B40" s="8" t="s">
        <v>389</v>
      </c>
      <c r="C40" s="172"/>
    </row>
    <row r="41" spans="1:3" ht="13.8" thickBot="1" x14ac:dyDescent="0.3">
      <c r="A41" s="171"/>
      <c r="B41" s="8" t="s">
        <v>390</v>
      </c>
      <c r="C41" s="172"/>
    </row>
    <row r="42" spans="1:3" ht="13.8" thickBot="1" x14ac:dyDescent="0.3">
      <c r="A42" s="171"/>
      <c r="B42" s="8" t="s">
        <v>391</v>
      </c>
      <c r="C42" s="172"/>
    </row>
    <row r="43" spans="1:3" ht="13.8" thickBot="1" x14ac:dyDescent="0.3">
      <c r="A43" s="171"/>
      <c r="B43" s="8" t="s">
        <v>392</v>
      </c>
      <c r="C43" s="172"/>
    </row>
    <row r="44" spans="1:3" ht="13.8" thickBot="1" x14ac:dyDescent="0.3">
      <c r="A44" s="171"/>
      <c r="B44" s="8" t="s">
        <v>393</v>
      </c>
      <c r="C44" s="172"/>
    </row>
    <row r="45" spans="1:3" ht="13.8" thickBot="1" x14ac:dyDescent="0.3">
      <c r="A45" s="171"/>
      <c r="B45" s="8" t="s">
        <v>394</v>
      </c>
      <c r="C45" s="172"/>
    </row>
    <row r="46" spans="1:3" ht="13.8" thickBot="1" x14ac:dyDescent="0.3">
      <c r="A46" s="171"/>
      <c r="B46" s="8" t="s">
        <v>395</v>
      </c>
      <c r="C46" s="172"/>
    </row>
    <row r="47" spans="1:3" ht="13.8" thickBot="1" x14ac:dyDescent="0.3">
      <c r="A47" s="171"/>
      <c r="B47" s="8" t="s">
        <v>396</v>
      </c>
      <c r="C47" s="172"/>
    </row>
    <row r="48" spans="1:3" ht="13.8" thickBot="1" x14ac:dyDescent="0.3">
      <c r="A48" s="171"/>
      <c r="B48" s="8" t="s">
        <v>397</v>
      </c>
      <c r="C48" s="172"/>
    </row>
    <row r="49" spans="1:3" ht="13.8" thickBot="1" x14ac:dyDescent="0.3">
      <c r="A49" s="171"/>
      <c r="B49" s="8" t="s">
        <v>398</v>
      </c>
      <c r="C49" s="172"/>
    </row>
    <row r="50" spans="1:3" ht="13.8" thickBot="1" x14ac:dyDescent="0.3">
      <c r="A50" s="171"/>
      <c r="B50" s="8" t="s">
        <v>399</v>
      </c>
      <c r="C50" s="172"/>
    </row>
    <row r="51" spans="1:3" ht="13.8" thickBot="1" x14ac:dyDescent="0.3">
      <c r="A51" s="171"/>
      <c r="B51" s="8" t="s">
        <v>400</v>
      </c>
      <c r="C51" s="172"/>
    </row>
    <row r="52" spans="1:3" ht="13.8" thickBot="1" x14ac:dyDescent="0.3">
      <c r="A52" s="171"/>
      <c r="B52" s="8" t="s">
        <v>401</v>
      </c>
      <c r="C52" s="172"/>
    </row>
    <row r="53" spans="1:3" ht="13.8" thickBot="1" x14ac:dyDescent="0.3">
      <c r="A53" s="171"/>
      <c r="B53" s="8" t="s">
        <v>402</v>
      </c>
      <c r="C53" s="172"/>
    </row>
    <row r="54" spans="1:3" ht="13.8" thickBot="1" x14ac:dyDescent="0.3">
      <c r="A54" s="171"/>
      <c r="B54" s="8" t="s">
        <v>403</v>
      </c>
      <c r="C54" s="172"/>
    </row>
    <row r="55" spans="1:3" ht="13.8" thickBot="1" x14ac:dyDescent="0.3">
      <c r="A55" s="171"/>
      <c r="B55" s="8" t="s">
        <v>404</v>
      </c>
      <c r="C55" s="172"/>
    </row>
    <row r="56" spans="1:3" ht="13.8" thickBot="1" x14ac:dyDescent="0.3">
      <c r="A56" s="171"/>
      <c r="B56" s="8" t="s">
        <v>405</v>
      </c>
      <c r="C56" s="172"/>
    </row>
    <row r="57" spans="1:3" ht="13.8" thickBot="1" x14ac:dyDescent="0.3">
      <c r="A57" s="171"/>
      <c r="B57" s="8" t="s">
        <v>406</v>
      </c>
      <c r="C57" s="172"/>
    </row>
    <row r="58" spans="1:3" ht="13.8" thickBot="1" x14ac:dyDescent="0.3">
      <c r="A58" s="171"/>
      <c r="B58" s="8" t="s">
        <v>407</v>
      </c>
      <c r="C58" s="172"/>
    </row>
    <row r="59" spans="1:3" ht="13.8" thickBot="1" x14ac:dyDescent="0.3">
      <c r="A59" s="171"/>
      <c r="B59" s="8" t="s">
        <v>408</v>
      </c>
      <c r="C59" s="172"/>
    </row>
    <row r="60" spans="1:3" ht="13.8" thickBot="1" x14ac:dyDescent="0.3">
      <c r="A60" s="171"/>
      <c r="B60" s="8" t="s">
        <v>409</v>
      </c>
      <c r="C60" s="172"/>
    </row>
    <row r="61" spans="1:3" ht="13.8" thickBot="1" x14ac:dyDescent="0.3">
      <c r="A61" s="171"/>
      <c r="B61" s="8" t="s">
        <v>410</v>
      </c>
      <c r="C61" s="172"/>
    </row>
    <row r="62" spans="1:3" ht="13.8" thickBot="1" x14ac:dyDescent="0.3">
      <c r="A62" s="171"/>
      <c r="B62" s="8" t="s">
        <v>411</v>
      </c>
      <c r="C62" s="172"/>
    </row>
    <row r="63" spans="1:3" ht="13.8" thickBot="1" x14ac:dyDescent="0.3">
      <c r="A63" s="171"/>
      <c r="B63" s="8" t="s">
        <v>412</v>
      </c>
      <c r="C63" s="172"/>
    </row>
    <row r="64" spans="1:3" ht="13.8" thickBot="1" x14ac:dyDescent="0.3">
      <c r="A64" s="171"/>
      <c r="B64" s="8" t="s">
        <v>413</v>
      </c>
      <c r="C64" s="172"/>
    </row>
    <row r="65" spans="1:3" ht="13.8" thickBot="1" x14ac:dyDescent="0.3">
      <c r="A65" s="171"/>
      <c r="B65" s="8" t="s">
        <v>414</v>
      </c>
      <c r="C65" s="172"/>
    </row>
    <row r="66" spans="1:3" ht="13.8" thickBot="1" x14ac:dyDescent="0.3">
      <c r="A66" s="171"/>
      <c r="B66" s="8" t="s">
        <v>415</v>
      </c>
      <c r="C66" s="172"/>
    </row>
    <row r="67" spans="1:3" ht="13.8" thickBot="1" x14ac:dyDescent="0.3">
      <c r="A67" s="171"/>
      <c r="B67" s="8" t="s">
        <v>416</v>
      </c>
      <c r="C67" s="172"/>
    </row>
    <row r="68" spans="1:3" ht="13.8" thickBot="1" x14ac:dyDescent="0.3">
      <c r="A68" s="171"/>
      <c r="B68" s="8" t="s">
        <v>417</v>
      </c>
      <c r="C68" s="172"/>
    </row>
    <row r="69" spans="1:3" ht="13.8" thickBot="1" x14ac:dyDescent="0.3">
      <c r="A69" s="171"/>
      <c r="B69" s="8" t="s">
        <v>418</v>
      </c>
      <c r="C69" s="172"/>
    </row>
    <row r="70" spans="1:3" ht="13.8" thickBot="1" x14ac:dyDescent="0.3">
      <c r="A70" s="171"/>
      <c r="B70" s="8" t="s">
        <v>419</v>
      </c>
      <c r="C70" s="172"/>
    </row>
    <row r="71" spans="1:3" ht="13.8" thickBot="1" x14ac:dyDescent="0.3">
      <c r="A71" s="171"/>
      <c r="B71" s="8" t="s">
        <v>420</v>
      </c>
      <c r="C71" s="172"/>
    </row>
    <row r="72" spans="1:3" ht="13.8" thickBot="1" x14ac:dyDescent="0.3">
      <c r="A72" s="171"/>
      <c r="B72" s="8" t="s">
        <v>421</v>
      </c>
      <c r="C72" s="172"/>
    </row>
    <row r="73" spans="1:3" ht="13.8" thickBot="1" x14ac:dyDescent="0.3">
      <c r="A73" s="171"/>
      <c r="B73" s="8" t="s">
        <v>422</v>
      </c>
      <c r="C73" s="172"/>
    </row>
    <row r="74" spans="1:3" ht="13.8" thickBot="1" x14ac:dyDescent="0.3">
      <c r="A74" s="171"/>
      <c r="B74" s="8" t="s">
        <v>423</v>
      </c>
      <c r="C74" s="172"/>
    </row>
    <row r="75" spans="1:3" ht="13.8" thickBot="1" x14ac:dyDescent="0.3">
      <c r="A75" s="171"/>
      <c r="B75" s="8" t="s">
        <v>424</v>
      </c>
      <c r="C75" s="172"/>
    </row>
    <row r="76" spans="1:3" ht="13.8" thickBot="1" x14ac:dyDescent="0.3">
      <c r="A76" s="171"/>
      <c r="B76" s="8" t="s">
        <v>425</v>
      </c>
      <c r="C76" s="172"/>
    </row>
    <row r="77" spans="1:3" ht="13.8" thickBot="1" x14ac:dyDescent="0.3">
      <c r="A77" s="171"/>
      <c r="B77" s="8" t="s">
        <v>426</v>
      </c>
      <c r="C77" s="172"/>
    </row>
    <row r="78" spans="1:3" ht="13.8" thickBot="1" x14ac:dyDescent="0.3">
      <c r="A78" s="171"/>
      <c r="B78" s="8" t="s">
        <v>427</v>
      </c>
      <c r="C78" s="172"/>
    </row>
    <row r="79" spans="1:3" ht="13.8" thickBot="1" x14ac:dyDescent="0.3">
      <c r="A79" s="171"/>
      <c r="B79" s="8" t="s">
        <v>428</v>
      </c>
      <c r="C79" s="172"/>
    </row>
    <row r="80" spans="1:3" ht="13.8" thickBot="1" x14ac:dyDescent="0.3">
      <c r="A80" s="171"/>
      <c r="B80" s="8" t="s">
        <v>429</v>
      </c>
      <c r="C80" s="172"/>
    </row>
    <row r="81" spans="1:3" ht="13.8" thickBot="1" x14ac:dyDescent="0.3">
      <c r="A81" s="173"/>
      <c r="B81" s="8" t="s">
        <v>430</v>
      </c>
      <c r="C81" s="174"/>
    </row>
    <row r="82" spans="1:3" ht="13.8" thickBot="1" x14ac:dyDescent="0.3">
      <c r="A82" s="14" t="s">
        <v>431</v>
      </c>
      <c r="B82" s="8" t="s">
        <v>433</v>
      </c>
      <c r="C82" s="9" t="s">
        <v>434</v>
      </c>
    </row>
    <row r="83" spans="1:3" ht="13.8" thickBot="1" x14ac:dyDescent="0.3">
      <c r="A83" s="14"/>
      <c r="B83" s="8" t="s">
        <v>436</v>
      </c>
      <c r="C83" s="9" t="s">
        <v>64</v>
      </c>
    </row>
    <row r="84" spans="1:3" ht="13.8" thickBot="1" x14ac:dyDescent="0.3">
      <c r="A84" s="14" t="s">
        <v>432</v>
      </c>
      <c r="B84" s="8" t="s">
        <v>437</v>
      </c>
      <c r="C84" s="9" t="s">
        <v>435</v>
      </c>
    </row>
    <row r="85" spans="1:3" ht="13.8" thickBot="1" x14ac:dyDescent="0.3">
      <c r="A85" s="171"/>
      <c r="B85" s="8" t="s">
        <v>438</v>
      </c>
      <c r="C85" s="172"/>
    </row>
    <row r="86" spans="1:3" ht="13.8" thickBot="1" x14ac:dyDescent="0.3">
      <c r="A86" s="171"/>
      <c r="B86" s="8" t="s">
        <v>439</v>
      </c>
      <c r="C86" s="172"/>
    </row>
    <row r="87" spans="1:3" ht="13.8" thickBot="1" x14ac:dyDescent="0.3">
      <c r="A87" s="171"/>
      <c r="B87" s="8" t="s">
        <v>440</v>
      </c>
      <c r="C87" s="172"/>
    </row>
    <row r="88" spans="1:3" ht="13.8" thickBot="1" x14ac:dyDescent="0.3">
      <c r="A88" s="171"/>
      <c r="B88" s="8" t="s">
        <v>441</v>
      </c>
      <c r="C88" s="172"/>
    </row>
    <row r="89" spans="1:3" ht="13.8" thickBot="1" x14ac:dyDescent="0.3">
      <c r="A89" s="171"/>
      <c r="B89" s="8" t="s">
        <v>442</v>
      </c>
      <c r="C89" s="172"/>
    </row>
    <row r="90" spans="1:3" ht="13.8" thickBot="1" x14ac:dyDescent="0.3">
      <c r="A90" s="171"/>
      <c r="B90" s="8" t="s">
        <v>393</v>
      </c>
      <c r="C90" s="172"/>
    </row>
    <row r="91" spans="1:3" ht="13.8" thickBot="1" x14ac:dyDescent="0.3">
      <c r="A91" s="171"/>
      <c r="B91" s="8" t="s">
        <v>443</v>
      </c>
      <c r="C91" s="172"/>
    </row>
    <row r="92" spans="1:3" ht="13.8" thickBot="1" x14ac:dyDescent="0.3">
      <c r="A92" s="171"/>
      <c r="B92" s="8" t="s">
        <v>444</v>
      </c>
      <c r="C92" s="172"/>
    </row>
    <row r="93" spans="1:3" ht="13.8" thickBot="1" x14ac:dyDescent="0.3">
      <c r="A93" s="171"/>
      <c r="B93" s="8" t="s">
        <v>445</v>
      </c>
      <c r="C93" s="172"/>
    </row>
    <row r="94" spans="1:3" ht="13.8" thickBot="1" x14ac:dyDescent="0.3">
      <c r="A94" s="173"/>
      <c r="B94" s="8" t="s">
        <v>446</v>
      </c>
      <c r="C94" s="174"/>
    </row>
    <row r="95" spans="1:3" ht="13.8" thickBot="1" x14ac:dyDescent="0.3">
      <c r="A95" s="14" t="s">
        <v>447</v>
      </c>
      <c r="B95" s="8" t="s">
        <v>449</v>
      </c>
      <c r="C95" s="9" t="s">
        <v>450</v>
      </c>
    </row>
    <row r="96" spans="1:3" ht="13.8" thickBot="1" x14ac:dyDescent="0.3">
      <c r="A96" s="14"/>
      <c r="B96" s="8" t="s">
        <v>452</v>
      </c>
      <c r="C96" s="170"/>
    </row>
    <row r="97" spans="1:3" ht="13.8" thickBot="1" x14ac:dyDescent="0.3">
      <c r="A97" s="14" t="s">
        <v>448</v>
      </c>
      <c r="B97" s="8" t="s">
        <v>453</v>
      </c>
      <c r="C97" s="9" t="s">
        <v>451</v>
      </c>
    </row>
    <row r="98" spans="1:3" ht="13.8" thickBot="1" x14ac:dyDescent="0.3">
      <c r="A98" s="171"/>
      <c r="B98" s="8" t="s">
        <v>454</v>
      </c>
      <c r="C98" s="172"/>
    </row>
    <row r="99" spans="1:3" ht="13.8" thickBot="1" x14ac:dyDescent="0.3">
      <c r="A99" s="171"/>
      <c r="B99" s="8" t="s">
        <v>455</v>
      </c>
      <c r="C99" s="172"/>
    </row>
    <row r="100" spans="1:3" ht="13.8" thickBot="1" x14ac:dyDescent="0.3">
      <c r="A100" s="171"/>
      <c r="B100" s="8" t="s">
        <v>456</v>
      </c>
      <c r="C100" s="172"/>
    </row>
    <row r="101" spans="1:3" ht="13.8" thickBot="1" x14ac:dyDescent="0.3">
      <c r="A101" s="171"/>
      <c r="B101" s="8" t="s">
        <v>457</v>
      </c>
      <c r="C101" s="172"/>
    </row>
    <row r="102" spans="1:3" ht="13.8" thickBot="1" x14ac:dyDescent="0.3">
      <c r="A102" s="171"/>
      <c r="B102" s="8" t="s">
        <v>458</v>
      </c>
      <c r="C102" s="172"/>
    </row>
    <row r="103" spans="1:3" ht="13.8" thickBot="1" x14ac:dyDescent="0.3">
      <c r="A103" s="171"/>
      <c r="B103" s="8" t="s">
        <v>459</v>
      </c>
      <c r="C103" s="172"/>
    </row>
    <row r="104" spans="1:3" ht="13.8" thickBot="1" x14ac:dyDescent="0.3">
      <c r="A104" s="171"/>
      <c r="B104" s="8" t="s">
        <v>460</v>
      </c>
      <c r="C104" s="172"/>
    </row>
    <row r="105" spans="1:3" ht="13.8" thickBot="1" x14ac:dyDescent="0.3">
      <c r="A105" s="171"/>
      <c r="B105" s="8" t="s">
        <v>461</v>
      </c>
      <c r="C105" s="172"/>
    </row>
    <row r="106" spans="1:3" ht="13.8" thickBot="1" x14ac:dyDescent="0.3">
      <c r="A106" s="173"/>
      <c r="B106" s="8" t="s">
        <v>462</v>
      </c>
      <c r="C106" s="174"/>
    </row>
    <row r="107" spans="1:3" ht="13.8" thickBot="1" x14ac:dyDescent="0.3">
      <c r="A107" s="14" t="s">
        <v>463</v>
      </c>
      <c r="B107" s="8" t="s">
        <v>465</v>
      </c>
      <c r="C107" s="220" t="s">
        <v>466</v>
      </c>
    </row>
    <row r="108" spans="1:3" ht="13.8" thickBot="1" x14ac:dyDescent="0.3">
      <c r="A108" s="14"/>
      <c r="B108" s="8" t="s">
        <v>467</v>
      </c>
      <c r="C108" s="221"/>
    </row>
    <row r="109" spans="1:3" ht="13.8" thickBot="1" x14ac:dyDescent="0.3">
      <c r="A109" s="14" t="s">
        <v>464</v>
      </c>
      <c r="B109" s="8" t="s">
        <v>468</v>
      </c>
      <c r="C109" s="221"/>
    </row>
    <row r="110" spans="1:3" ht="13.8" thickBot="1" x14ac:dyDescent="0.3">
      <c r="A110" s="171"/>
      <c r="B110" s="8" t="s">
        <v>469</v>
      </c>
      <c r="C110" s="221"/>
    </row>
    <row r="111" spans="1:3" ht="13.8" thickBot="1" x14ac:dyDescent="0.3">
      <c r="A111" s="171"/>
      <c r="B111" s="8" t="s">
        <v>470</v>
      </c>
      <c r="C111" s="221"/>
    </row>
    <row r="112" spans="1:3" ht="13.8" thickBot="1" x14ac:dyDescent="0.3">
      <c r="A112" s="171"/>
      <c r="B112" s="8" t="s">
        <v>471</v>
      </c>
      <c r="C112" s="221"/>
    </row>
    <row r="113" spans="1:3" ht="13.8" thickBot="1" x14ac:dyDescent="0.3">
      <c r="A113" s="173"/>
      <c r="B113" s="8" t="s">
        <v>472</v>
      </c>
      <c r="C113" s="222"/>
    </row>
    <row r="114" spans="1:3" ht="13.8" thickBot="1" x14ac:dyDescent="0.3">
      <c r="A114" s="14" t="s">
        <v>473</v>
      </c>
      <c r="B114" s="8" t="s">
        <v>475</v>
      </c>
      <c r="C114" s="9" t="s">
        <v>476</v>
      </c>
    </row>
    <row r="115" spans="1:3" ht="13.8" thickBot="1" x14ac:dyDescent="0.3">
      <c r="A115" s="14"/>
      <c r="B115" s="8" t="s">
        <v>478</v>
      </c>
      <c r="C115" s="170"/>
    </row>
    <row r="116" spans="1:3" ht="13.8" thickBot="1" x14ac:dyDescent="0.3">
      <c r="A116" s="14" t="s">
        <v>474</v>
      </c>
      <c r="B116" s="8" t="s">
        <v>479</v>
      </c>
      <c r="C116" s="9" t="s">
        <v>477</v>
      </c>
    </row>
    <row r="117" spans="1:3" ht="13.8" thickBot="1" x14ac:dyDescent="0.3">
      <c r="A117" s="171"/>
      <c r="B117" s="8" t="s">
        <v>480</v>
      </c>
      <c r="C117" s="172"/>
    </row>
    <row r="118" spans="1:3" ht="13.8" thickBot="1" x14ac:dyDescent="0.3">
      <c r="A118" s="173"/>
      <c r="B118" s="8" t="s">
        <v>481</v>
      </c>
      <c r="C118" s="174"/>
    </row>
  </sheetData>
  <sheetProtection algorithmName="SHA-512" hashValue="ycOmacnWCovQALoQ3Sll8esw+cXedudTjVyy5NU0QDLzKi/CRSfKXjkT8E7DnzAIRsuNs8kvuhuw0RYltyT7Cg==" saltValue="tHB2CyVHcBLJbcohMzS+hw=="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tabColor rgb="FFFF0000"/>
  </sheetPr>
  <dimension ref="A2:I105"/>
  <sheetViews>
    <sheetView zoomScale="115" zoomScaleNormal="115" workbookViewId="0">
      <pane ySplit="2" topLeftCell="A25" activePane="bottomLeft" state="frozen"/>
      <selection pane="bottomLeft" activeCell="I39" sqref="I39"/>
    </sheetView>
  </sheetViews>
  <sheetFormatPr defaultColWidth="9.21875" defaultRowHeight="13.2" x14ac:dyDescent="0.3"/>
  <cols>
    <col min="1" max="1" width="4" style="184" bestFit="1" customWidth="1"/>
    <col min="2" max="2" width="9.44140625" style="184" bestFit="1" customWidth="1"/>
    <col min="3" max="3" width="56.88671875" style="184" customWidth="1"/>
    <col min="4" max="4" width="17.44140625" style="189" customWidth="1"/>
    <col min="5" max="5" width="16.44140625" style="184" customWidth="1"/>
    <col min="6" max="6" width="47" style="184" customWidth="1"/>
    <col min="7" max="7" width="15.44140625" style="184" customWidth="1"/>
    <col min="8" max="8" width="15.21875" style="184" customWidth="1"/>
    <col min="9" max="9" width="9.21875" style="184"/>
    <col min="10" max="16384" width="9.21875" style="186"/>
  </cols>
  <sheetData>
    <row r="2" spans="1:9" s="183" customFormat="1" ht="26.4" x14ac:dyDescent="0.3">
      <c r="A2" s="160" t="s">
        <v>160</v>
      </c>
      <c r="B2" s="160" t="s">
        <v>161</v>
      </c>
      <c r="C2" s="160" t="s">
        <v>275</v>
      </c>
      <c r="D2" s="182" t="s">
        <v>282</v>
      </c>
      <c r="E2" s="160" t="s">
        <v>162</v>
      </c>
      <c r="F2" s="160" t="s">
        <v>163</v>
      </c>
      <c r="G2" s="160" t="s">
        <v>219</v>
      </c>
      <c r="H2" s="160" t="s">
        <v>159</v>
      </c>
      <c r="I2" s="160" t="s">
        <v>164</v>
      </c>
    </row>
    <row r="3" spans="1:9" ht="39.6" x14ac:dyDescent="0.3">
      <c r="A3" s="184">
        <v>1</v>
      </c>
      <c r="B3" s="184" t="s">
        <v>165</v>
      </c>
      <c r="C3" s="184" t="s">
        <v>166</v>
      </c>
      <c r="D3" s="184"/>
      <c r="E3" s="184" t="s">
        <v>167</v>
      </c>
      <c r="F3" s="185" t="s">
        <v>168</v>
      </c>
      <c r="G3" s="184" t="s">
        <v>169</v>
      </c>
      <c r="H3" s="184" t="s">
        <v>165</v>
      </c>
      <c r="I3" s="184" t="s">
        <v>171</v>
      </c>
    </row>
    <row r="4" spans="1:9" ht="26.4" x14ac:dyDescent="0.3">
      <c r="A4" s="187">
        <v>2</v>
      </c>
      <c r="B4" s="187" t="s">
        <v>165</v>
      </c>
      <c r="C4" s="187" t="s">
        <v>172</v>
      </c>
      <c r="D4" s="188"/>
      <c r="E4" s="187" t="s">
        <v>173</v>
      </c>
      <c r="F4" s="187" t="s">
        <v>174</v>
      </c>
      <c r="G4" s="187" t="s">
        <v>285</v>
      </c>
      <c r="H4" s="187"/>
      <c r="I4" s="187" t="s">
        <v>171</v>
      </c>
    </row>
    <row r="5" spans="1:9" ht="66" x14ac:dyDescent="0.3">
      <c r="A5" s="184">
        <v>3</v>
      </c>
      <c r="B5" s="184" t="s">
        <v>165</v>
      </c>
      <c r="C5" s="184" t="s">
        <v>176</v>
      </c>
      <c r="D5" s="184"/>
      <c r="E5" s="184" t="s">
        <v>177</v>
      </c>
      <c r="F5" s="184" t="s">
        <v>178</v>
      </c>
      <c r="G5" s="184" t="s">
        <v>169</v>
      </c>
      <c r="H5" s="184" t="s">
        <v>165</v>
      </c>
      <c r="I5" s="184" t="s">
        <v>171</v>
      </c>
    </row>
    <row r="6" spans="1:9" ht="39.6" x14ac:dyDescent="0.3">
      <c r="A6" s="187">
        <v>4</v>
      </c>
      <c r="B6" s="187" t="s">
        <v>165</v>
      </c>
      <c r="C6" s="187" t="s">
        <v>179</v>
      </c>
      <c r="D6" s="187">
        <v>12</v>
      </c>
      <c r="E6" s="187" t="s">
        <v>180</v>
      </c>
      <c r="F6" s="187" t="s">
        <v>181</v>
      </c>
      <c r="G6" s="187" t="s">
        <v>182</v>
      </c>
      <c r="H6" s="187"/>
      <c r="I6" s="187" t="s">
        <v>171</v>
      </c>
    </row>
    <row r="7" spans="1:9" ht="26.4" x14ac:dyDescent="0.3">
      <c r="A7" s="184">
        <v>5</v>
      </c>
      <c r="B7" s="184" t="s">
        <v>170</v>
      </c>
      <c r="C7" s="184" t="s">
        <v>183</v>
      </c>
      <c r="D7" s="189" t="s">
        <v>184</v>
      </c>
      <c r="F7" s="184" t="s">
        <v>185</v>
      </c>
      <c r="G7" s="184" t="s">
        <v>175</v>
      </c>
      <c r="I7" s="184" t="s">
        <v>171</v>
      </c>
    </row>
    <row r="8" spans="1:9" ht="26.4" x14ac:dyDescent="0.3">
      <c r="A8" s="184">
        <v>6</v>
      </c>
      <c r="B8" s="184" t="s">
        <v>186</v>
      </c>
      <c r="C8" s="184" t="s">
        <v>187</v>
      </c>
      <c r="D8" s="184"/>
      <c r="E8" s="184" t="s">
        <v>188</v>
      </c>
      <c r="F8" s="184" t="s">
        <v>189</v>
      </c>
      <c r="G8" s="184" t="s">
        <v>169</v>
      </c>
      <c r="H8" s="184" t="s">
        <v>165</v>
      </c>
      <c r="I8" s="184" t="s">
        <v>171</v>
      </c>
    </row>
    <row r="9" spans="1:9" ht="52.8" x14ac:dyDescent="0.3">
      <c r="A9" s="184">
        <v>7</v>
      </c>
      <c r="B9" s="184" t="s">
        <v>186</v>
      </c>
      <c r="C9" s="189" t="s">
        <v>190</v>
      </c>
      <c r="D9" s="184"/>
      <c r="E9" s="184" t="s">
        <v>191</v>
      </c>
      <c r="F9" s="184" t="s">
        <v>192</v>
      </c>
      <c r="G9" s="184" t="s">
        <v>169</v>
      </c>
      <c r="H9" s="184" t="s">
        <v>165</v>
      </c>
      <c r="I9" s="184" t="s">
        <v>171</v>
      </c>
    </row>
    <row r="10" spans="1:9" ht="52.8" x14ac:dyDescent="0.3">
      <c r="A10" s="187">
        <v>8</v>
      </c>
      <c r="B10" s="187" t="s">
        <v>186</v>
      </c>
      <c r="C10" s="187" t="s">
        <v>193</v>
      </c>
      <c r="D10" s="187"/>
      <c r="E10" s="187"/>
      <c r="F10" s="187" t="s">
        <v>194</v>
      </c>
      <c r="G10" s="187" t="s">
        <v>169</v>
      </c>
      <c r="H10" s="187"/>
      <c r="I10" s="187" t="s">
        <v>171</v>
      </c>
    </row>
    <row r="11" spans="1:9" ht="39.6" x14ac:dyDescent="0.3">
      <c r="A11" s="184">
        <v>9</v>
      </c>
      <c r="B11" s="184" t="s">
        <v>195</v>
      </c>
      <c r="C11" s="184" t="s">
        <v>196</v>
      </c>
      <c r="D11" s="184"/>
      <c r="F11" s="184" t="s">
        <v>197</v>
      </c>
      <c r="G11" s="184" t="s">
        <v>175</v>
      </c>
      <c r="H11" s="184" t="s">
        <v>165</v>
      </c>
      <c r="I11" s="184" t="s">
        <v>171</v>
      </c>
    </row>
    <row r="12" spans="1:9" x14ac:dyDescent="0.3">
      <c r="A12" s="184">
        <v>10</v>
      </c>
      <c r="B12" s="184" t="s">
        <v>195</v>
      </c>
      <c r="C12" s="184" t="s">
        <v>198</v>
      </c>
      <c r="D12" s="184">
        <v>7</v>
      </c>
      <c r="E12" s="184" t="s">
        <v>199</v>
      </c>
      <c r="F12" s="184" t="s">
        <v>200</v>
      </c>
      <c r="G12" s="184" t="s">
        <v>169</v>
      </c>
      <c r="H12" s="184" t="s">
        <v>170</v>
      </c>
      <c r="I12" s="184" t="s">
        <v>171</v>
      </c>
    </row>
    <row r="13" spans="1:9" x14ac:dyDescent="0.3">
      <c r="A13" s="184">
        <v>11</v>
      </c>
      <c r="B13" s="184" t="s">
        <v>195</v>
      </c>
      <c r="C13" s="184" t="s">
        <v>201</v>
      </c>
      <c r="D13" s="184">
        <v>12</v>
      </c>
      <c r="F13" s="184" t="s">
        <v>202</v>
      </c>
      <c r="G13" s="184" t="s">
        <v>169</v>
      </c>
      <c r="H13" s="184" t="s">
        <v>170</v>
      </c>
      <c r="I13" s="184" t="s">
        <v>171</v>
      </c>
    </row>
    <row r="14" spans="1:9" ht="26.4" x14ac:dyDescent="0.3">
      <c r="A14" s="187">
        <v>12</v>
      </c>
      <c r="B14" s="187" t="s">
        <v>195</v>
      </c>
      <c r="C14" s="187" t="s">
        <v>203</v>
      </c>
      <c r="D14" s="187">
        <v>4</v>
      </c>
      <c r="E14" s="187" t="s">
        <v>204</v>
      </c>
      <c r="F14" s="187" t="s">
        <v>205</v>
      </c>
      <c r="G14" s="187" t="s">
        <v>182</v>
      </c>
      <c r="H14" s="187"/>
      <c r="I14" s="187" t="s">
        <v>171</v>
      </c>
    </row>
    <row r="15" spans="1:9" x14ac:dyDescent="0.3">
      <c r="A15" s="184">
        <v>13</v>
      </c>
      <c r="B15" s="184" t="s">
        <v>206</v>
      </c>
      <c r="C15" s="184" t="s">
        <v>207</v>
      </c>
      <c r="D15" s="184"/>
      <c r="E15" s="184" t="s">
        <v>208</v>
      </c>
      <c r="F15" s="184" t="s">
        <v>209</v>
      </c>
      <c r="G15" s="184" t="s">
        <v>169</v>
      </c>
      <c r="H15" s="184" t="s">
        <v>165</v>
      </c>
      <c r="I15" s="184" t="s">
        <v>171</v>
      </c>
    </row>
    <row r="16" spans="1:9" x14ac:dyDescent="0.3">
      <c r="A16" s="184">
        <v>14</v>
      </c>
      <c r="B16" s="184" t="s">
        <v>206</v>
      </c>
      <c r="C16" s="184" t="s">
        <v>210</v>
      </c>
      <c r="D16" s="184">
        <v>7</v>
      </c>
      <c r="E16" s="184" t="s">
        <v>199</v>
      </c>
      <c r="F16" s="184" t="s">
        <v>200</v>
      </c>
      <c r="G16" s="184" t="s">
        <v>169</v>
      </c>
      <c r="H16" s="184" t="s">
        <v>170</v>
      </c>
      <c r="I16" s="184" t="s">
        <v>171</v>
      </c>
    </row>
    <row r="17" spans="1:9" ht="26.4" x14ac:dyDescent="0.3">
      <c r="A17" s="184">
        <v>15</v>
      </c>
      <c r="B17" s="184" t="s">
        <v>206</v>
      </c>
      <c r="C17" s="184" t="s">
        <v>211</v>
      </c>
      <c r="D17" s="184"/>
      <c r="E17" s="184" t="s">
        <v>212</v>
      </c>
      <c r="F17" s="185" t="s">
        <v>168</v>
      </c>
      <c r="G17" s="184" t="s">
        <v>169</v>
      </c>
      <c r="H17" s="184" t="s">
        <v>165</v>
      </c>
      <c r="I17" s="184" t="s">
        <v>171</v>
      </c>
    </row>
    <row r="18" spans="1:9" ht="26.4" x14ac:dyDescent="0.3">
      <c r="A18" s="187">
        <v>16</v>
      </c>
      <c r="B18" s="187" t="s">
        <v>165</v>
      </c>
      <c r="C18" s="187" t="s">
        <v>213</v>
      </c>
      <c r="D18" s="188"/>
      <c r="E18" s="187" t="s">
        <v>284</v>
      </c>
      <c r="F18" s="187" t="s">
        <v>214</v>
      </c>
      <c r="G18" s="187" t="s">
        <v>274</v>
      </c>
      <c r="H18" s="187" t="s">
        <v>216</v>
      </c>
      <c r="I18" s="187" t="s">
        <v>171</v>
      </c>
    </row>
    <row r="19" spans="1:9" ht="26.4" x14ac:dyDescent="0.3">
      <c r="A19" s="184">
        <v>17</v>
      </c>
      <c r="B19" s="184" t="s">
        <v>165</v>
      </c>
      <c r="C19" s="184" t="s">
        <v>286</v>
      </c>
      <c r="D19" s="189" t="s">
        <v>287</v>
      </c>
      <c r="F19" s="184" t="s">
        <v>316</v>
      </c>
      <c r="H19" s="184" t="s">
        <v>216</v>
      </c>
      <c r="I19" s="184" t="s">
        <v>329</v>
      </c>
    </row>
    <row r="20" spans="1:9" x14ac:dyDescent="0.3">
      <c r="A20" s="190" t="s">
        <v>215</v>
      </c>
      <c r="B20" s="190"/>
      <c r="C20" s="190"/>
      <c r="D20" s="191"/>
      <c r="E20" s="190"/>
      <c r="F20" s="190"/>
      <c r="G20" s="190"/>
      <c r="H20" s="190"/>
      <c r="I20" s="190"/>
    </row>
    <row r="21" spans="1:9" x14ac:dyDescent="0.3">
      <c r="A21" s="184">
        <v>18</v>
      </c>
      <c r="B21" s="184" t="s">
        <v>272</v>
      </c>
      <c r="C21" s="184" t="s">
        <v>279</v>
      </c>
      <c r="D21" s="189">
        <v>1</v>
      </c>
      <c r="E21" s="184" t="s">
        <v>298</v>
      </c>
      <c r="F21" s="184" t="s">
        <v>297</v>
      </c>
      <c r="G21" s="184" t="s">
        <v>274</v>
      </c>
      <c r="H21" s="184" t="s">
        <v>216</v>
      </c>
      <c r="I21" s="184" t="s">
        <v>171</v>
      </c>
    </row>
    <row r="22" spans="1:9" x14ac:dyDescent="0.3">
      <c r="A22" s="184">
        <v>19</v>
      </c>
      <c r="B22" s="184" t="s">
        <v>272</v>
      </c>
      <c r="C22" s="184" t="s">
        <v>280</v>
      </c>
      <c r="E22" s="184" t="s">
        <v>281</v>
      </c>
      <c r="G22" s="184" t="s">
        <v>274</v>
      </c>
      <c r="H22" s="184" t="s">
        <v>216</v>
      </c>
      <c r="I22" s="184" t="s">
        <v>171</v>
      </c>
    </row>
    <row r="23" spans="1:9" ht="26.4" x14ac:dyDescent="0.3">
      <c r="A23" s="184">
        <v>20</v>
      </c>
      <c r="B23" s="184" t="s">
        <v>272</v>
      </c>
      <c r="C23" s="184" t="s">
        <v>300</v>
      </c>
      <c r="F23" s="184" t="s">
        <v>304</v>
      </c>
      <c r="G23" s="184" t="s">
        <v>274</v>
      </c>
      <c r="H23" s="184" t="s">
        <v>217</v>
      </c>
      <c r="I23" s="184" t="s">
        <v>171</v>
      </c>
    </row>
    <row r="24" spans="1:9" ht="26.4" x14ac:dyDescent="0.3">
      <c r="A24" s="184">
        <v>21</v>
      </c>
      <c r="B24" s="184" t="s">
        <v>272</v>
      </c>
      <c r="C24" s="184" t="s">
        <v>299</v>
      </c>
      <c r="D24" s="189" t="s">
        <v>328</v>
      </c>
      <c r="G24" s="184" t="s">
        <v>274</v>
      </c>
      <c r="H24" s="184" t="s">
        <v>217</v>
      </c>
      <c r="I24" s="184" t="s">
        <v>171</v>
      </c>
    </row>
    <row r="25" spans="1:9" x14ac:dyDescent="0.3">
      <c r="A25" s="184">
        <v>22</v>
      </c>
      <c r="B25" s="184" t="s">
        <v>272</v>
      </c>
      <c r="C25" s="184" t="s">
        <v>218</v>
      </c>
      <c r="F25" s="184" t="s">
        <v>316</v>
      </c>
      <c r="G25" s="184" t="s">
        <v>274</v>
      </c>
      <c r="H25" s="184" t="s">
        <v>217</v>
      </c>
      <c r="I25" s="184" t="s">
        <v>329</v>
      </c>
    </row>
    <row r="26" spans="1:9" x14ac:dyDescent="0.3">
      <c r="A26" s="184">
        <v>23</v>
      </c>
      <c r="B26" s="184" t="s">
        <v>272</v>
      </c>
      <c r="C26" s="184" t="s">
        <v>283</v>
      </c>
      <c r="G26" s="184" t="s">
        <v>274</v>
      </c>
      <c r="H26" s="184" t="s">
        <v>217</v>
      </c>
      <c r="I26" s="184" t="s">
        <v>171</v>
      </c>
    </row>
    <row r="27" spans="1:9" ht="26.4" x14ac:dyDescent="0.3">
      <c r="A27" s="184">
        <v>24</v>
      </c>
      <c r="B27" s="184" t="s">
        <v>272</v>
      </c>
      <c r="C27" s="184" t="s">
        <v>220</v>
      </c>
      <c r="F27" s="184" t="s">
        <v>305</v>
      </c>
      <c r="G27" s="184" t="s">
        <v>274</v>
      </c>
      <c r="H27" s="184" t="s">
        <v>216</v>
      </c>
      <c r="I27" s="184" t="s">
        <v>329</v>
      </c>
    </row>
    <row r="28" spans="1:9" x14ac:dyDescent="0.3">
      <c r="A28" s="184">
        <v>25</v>
      </c>
      <c r="B28" s="184" t="s">
        <v>272</v>
      </c>
      <c r="C28" s="184" t="s">
        <v>221</v>
      </c>
      <c r="G28" s="184" t="s">
        <v>274</v>
      </c>
      <c r="H28" s="184" t="s">
        <v>217</v>
      </c>
      <c r="I28" s="184" t="s">
        <v>171</v>
      </c>
    </row>
    <row r="29" spans="1:9" x14ac:dyDescent="0.3">
      <c r="A29" s="184">
        <v>26</v>
      </c>
      <c r="B29" s="184" t="s">
        <v>272</v>
      </c>
      <c r="C29" s="184" t="s">
        <v>273</v>
      </c>
      <c r="F29" s="184" t="s">
        <v>330</v>
      </c>
      <c r="G29" s="184" t="s">
        <v>274</v>
      </c>
      <c r="H29" s="184" t="s">
        <v>217</v>
      </c>
      <c r="I29" s="184" t="s">
        <v>329</v>
      </c>
    </row>
    <row r="30" spans="1:9" x14ac:dyDescent="0.3">
      <c r="A30" s="184">
        <v>27</v>
      </c>
      <c r="B30" s="184" t="s">
        <v>217</v>
      </c>
      <c r="C30" s="184" t="s">
        <v>295</v>
      </c>
      <c r="D30" s="189">
        <v>12</v>
      </c>
      <c r="E30" s="184" t="s">
        <v>296</v>
      </c>
      <c r="G30" s="184" t="s">
        <v>274</v>
      </c>
      <c r="H30" s="184" t="s">
        <v>216</v>
      </c>
      <c r="I30" s="184" t="s">
        <v>171</v>
      </c>
    </row>
    <row r="31" spans="1:9" x14ac:dyDescent="0.3">
      <c r="A31" s="184">
        <v>28</v>
      </c>
      <c r="B31" s="184" t="s">
        <v>217</v>
      </c>
      <c r="C31" s="184" t="s">
        <v>302</v>
      </c>
      <c r="H31" s="184" t="s">
        <v>216</v>
      </c>
      <c r="I31" s="184" t="s">
        <v>171</v>
      </c>
    </row>
    <row r="32" spans="1:9" x14ac:dyDescent="0.3">
      <c r="A32" s="184">
        <v>29</v>
      </c>
      <c r="B32" s="184" t="s">
        <v>217</v>
      </c>
      <c r="C32" s="184" t="s">
        <v>335</v>
      </c>
      <c r="G32" s="184" t="s">
        <v>274</v>
      </c>
      <c r="H32" s="184" t="s">
        <v>216</v>
      </c>
      <c r="I32" s="184" t="s">
        <v>329</v>
      </c>
    </row>
    <row r="33" spans="1:9" x14ac:dyDescent="0.3">
      <c r="A33" s="184">
        <v>30</v>
      </c>
      <c r="B33" s="184" t="s">
        <v>217</v>
      </c>
      <c r="C33" s="184" t="s">
        <v>336</v>
      </c>
      <c r="G33" s="184" t="s">
        <v>337</v>
      </c>
      <c r="H33" s="184" t="s">
        <v>216</v>
      </c>
      <c r="I33" s="184" t="s">
        <v>329</v>
      </c>
    </row>
    <row r="34" spans="1:9" x14ac:dyDescent="0.3">
      <c r="A34" s="184">
        <v>31</v>
      </c>
      <c r="B34" s="184" t="s">
        <v>486</v>
      </c>
      <c r="C34" s="184" t="s">
        <v>487</v>
      </c>
    </row>
    <row r="35" spans="1:9" x14ac:dyDescent="0.3">
      <c r="A35" s="190" t="s">
        <v>601</v>
      </c>
      <c r="B35" s="190"/>
      <c r="C35" s="190"/>
      <c r="D35" s="191"/>
      <c r="E35" s="190"/>
      <c r="F35" s="190"/>
      <c r="G35" s="190"/>
      <c r="H35" s="190"/>
      <c r="I35" s="190"/>
    </row>
    <row r="36" spans="1:9" ht="26.4" x14ac:dyDescent="0.3">
      <c r="A36" s="184">
        <v>32</v>
      </c>
      <c r="B36" s="184" t="s">
        <v>602</v>
      </c>
      <c r="C36" s="184" t="s">
        <v>607</v>
      </c>
      <c r="D36" s="189" t="s">
        <v>603</v>
      </c>
      <c r="E36" s="184" t="s">
        <v>604</v>
      </c>
      <c r="F36" s="184" t="s">
        <v>605</v>
      </c>
      <c r="G36" s="184" t="s">
        <v>606</v>
      </c>
      <c r="H36" s="184" t="s">
        <v>602</v>
      </c>
      <c r="I36" s="184" t="s">
        <v>171</v>
      </c>
    </row>
    <row r="37" spans="1:9" x14ac:dyDescent="0.3">
      <c r="A37" s="184">
        <v>33</v>
      </c>
      <c r="B37" s="184" t="s">
        <v>602</v>
      </c>
      <c r="C37" s="184" t="s">
        <v>608</v>
      </c>
      <c r="D37" s="189" t="s">
        <v>609</v>
      </c>
      <c r="E37" s="184" t="s">
        <v>610</v>
      </c>
      <c r="F37" s="184" t="s">
        <v>611</v>
      </c>
      <c r="G37" s="184" t="s">
        <v>606</v>
      </c>
      <c r="H37" s="184" t="s">
        <v>602</v>
      </c>
      <c r="I37" s="184" t="s">
        <v>171</v>
      </c>
    </row>
    <row r="38" spans="1:9" x14ac:dyDescent="0.3">
      <c r="A38" s="184">
        <v>34</v>
      </c>
      <c r="B38" s="223" t="s">
        <v>602</v>
      </c>
      <c r="C38" s="223" t="s">
        <v>614</v>
      </c>
      <c r="D38" s="224" t="s">
        <v>615</v>
      </c>
      <c r="E38" s="223" t="s">
        <v>610</v>
      </c>
      <c r="F38" s="223" t="s">
        <v>616</v>
      </c>
      <c r="G38" s="223" t="s">
        <v>617</v>
      </c>
      <c r="H38" s="223" t="s">
        <v>602</v>
      </c>
      <c r="I38" s="223" t="s">
        <v>171</v>
      </c>
    </row>
    <row r="39" spans="1:9" x14ac:dyDescent="0.3">
      <c r="A39" s="184">
        <v>35</v>
      </c>
    </row>
    <row r="40" spans="1:9" x14ac:dyDescent="0.3">
      <c r="A40" s="184">
        <v>36</v>
      </c>
    </row>
    <row r="41" spans="1:9" x14ac:dyDescent="0.3">
      <c r="A41" s="184">
        <v>37</v>
      </c>
    </row>
    <row r="42" spans="1:9" x14ac:dyDescent="0.3">
      <c r="A42" s="184">
        <v>38</v>
      </c>
    </row>
    <row r="43" spans="1:9" x14ac:dyDescent="0.3">
      <c r="A43" s="184">
        <v>39</v>
      </c>
    </row>
    <row r="44" spans="1:9" x14ac:dyDescent="0.3">
      <c r="A44" s="184">
        <v>40</v>
      </c>
    </row>
    <row r="45" spans="1:9" x14ac:dyDescent="0.3">
      <c r="A45" s="184">
        <v>41</v>
      </c>
    </row>
    <row r="46" spans="1:9" x14ac:dyDescent="0.3">
      <c r="A46" s="184">
        <v>42</v>
      </c>
    </row>
    <row r="47" spans="1:9" x14ac:dyDescent="0.3">
      <c r="A47" s="184">
        <v>43</v>
      </c>
    </row>
    <row r="48" spans="1:9" x14ac:dyDescent="0.3">
      <c r="A48" s="184">
        <v>44</v>
      </c>
    </row>
    <row r="49" spans="1:1" x14ac:dyDescent="0.3">
      <c r="A49" s="184">
        <v>45</v>
      </c>
    </row>
    <row r="50" spans="1:1" x14ac:dyDescent="0.3">
      <c r="A50" s="184">
        <v>46</v>
      </c>
    </row>
    <row r="51" spans="1:1" x14ac:dyDescent="0.3">
      <c r="A51" s="184">
        <v>47</v>
      </c>
    </row>
    <row r="52" spans="1:1" x14ac:dyDescent="0.3">
      <c r="A52" s="184">
        <v>48</v>
      </c>
    </row>
    <row r="53" spans="1:1" x14ac:dyDescent="0.3">
      <c r="A53" s="184">
        <v>49</v>
      </c>
    </row>
    <row r="54" spans="1:1" x14ac:dyDescent="0.3">
      <c r="A54" s="184">
        <v>50</v>
      </c>
    </row>
    <row r="55" spans="1:1" x14ac:dyDescent="0.3">
      <c r="A55" s="184">
        <v>51</v>
      </c>
    </row>
    <row r="56" spans="1:1" x14ac:dyDescent="0.3">
      <c r="A56" s="184">
        <v>52</v>
      </c>
    </row>
    <row r="57" spans="1:1" x14ac:dyDescent="0.3">
      <c r="A57" s="184">
        <v>53</v>
      </c>
    </row>
    <row r="58" spans="1:1" x14ac:dyDescent="0.3">
      <c r="A58" s="184">
        <v>54</v>
      </c>
    </row>
    <row r="59" spans="1:1" x14ac:dyDescent="0.3">
      <c r="A59" s="184">
        <v>55</v>
      </c>
    </row>
    <row r="60" spans="1:1" x14ac:dyDescent="0.3">
      <c r="A60" s="184">
        <v>56</v>
      </c>
    </row>
    <row r="61" spans="1:1" x14ac:dyDescent="0.3">
      <c r="A61" s="184">
        <v>57</v>
      </c>
    </row>
    <row r="62" spans="1:1" x14ac:dyDescent="0.3">
      <c r="A62" s="184">
        <v>58</v>
      </c>
    </row>
    <row r="63" spans="1:1" x14ac:dyDescent="0.3">
      <c r="A63" s="184">
        <v>59</v>
      </c>
    </row>
    <row r="64" spans="1:1" x14ac:dyDescent="0.3">
      <c r="A64" s="184">
        <v>60</v>
      </c>
    </row>
    <row r="65" spans="1:1" x14ac:dyDescent="0.3">
      <c r="A65" s="184">
        <v>61</v>
      </c>
    </row>
    <row r="66" spans="1:1" x14ac:dyDescent="0.3">
      <c r="A66" s="184">
        <v>62</v>
      </c>
    </row>
    <row r="67" spans="1:1" x14ac:dyDescent="0.3">
      <c r="A67" s="184">
        <v>63</v>
      </c>
    </row>
    <row r="68" spans="1:1" x14ac:dyDescent="0.3">
      <c r="A68" s="184">
        <v>64</v>
      </c>
    </row>
    <row r="69" spans="1:1" x14ac:dyDescent="0.3">
      <c r="A69" s="184">
        <v>65</v>
      </c>
    </row>
    <row r="70" spans="1:1" x14ac:dyDescent="0.3">
      <c r="A70" s="184">
        <v>66</v>
      </c>
    </row>
    <row r="71" spans="1:1" x14ac:dyDescent="0.3">
      <c r="A71" s="184">
        <v>67</v>
      </c>
    </row>
    <row r="72" spans="1:1" x14ac:dyDescent="0.3">
      <c r="A72" s="184">
        <v>68</v>
      </c>
    </row>
    <row r="73" spans="1:1" x14ac:dyDescent="0.3">
      <c r="A73" s="184">
        <v>69</v>
      </c>
    </row>
    <row r="74" spans="1:1" x14ac:dyDescent="0.3">
      <c r="A74" s="184">
        <v>70</v>
      </c>
    </row>
    <row r="75" spans="1:1" x14ac:dyDescent="0.3">
      <c r="A75" s="184">
        <v>71</v>
      </c>
    </row>
    <row r="76" spans="1:1" x14ac:dyDescent="0.3">
      <c r="A76" s="184">
        <v>72</v>
      </c>
    </row>
    <row r="77" spans="1:1" x14ac:dyDescent="0.3">
      <c r="A77" s="184">
        <v>73</v>
      </c>
    </row>
    <row r="78" spans="1:1" x14ac:dyDescent="0.3">
      <c r="A78" s="184">
        <v>74</v>
      </c>
    </row>
    <row r="79" spans="1:1" x14ac:dyDescent="0.3">
      <c r="A79" s="184">
        <v>75</v>
      </c>
    </row>
    <row r="80" spans="1:1" x14ac:dyDescent="0.3">
      <c r="A80" s="184">
        <v>76</v>
      </c>
    </row>
    <row r="81" spans="1:8" x14ac:dyDescent="0.3">
      <c r="A81" s="184">
        <v>77</v>
      </c>
    </row>
    <row r="82" spans="1:8" x14ac:dyDescent="0.3">
      <c r="A82" s="184">
        <v>78</v>
      </c>
    </row>
    <row r="83" spans="1:8" x14ac:dyDescent="0.3">
      <c r="A83" s="184">
        <v>79</v>
      </c>
    </row>
    <row r="84" spans="1:8" x14ac:dyDescent="0.3">
      <c r="A84" s="184">
        <v>80</v>
      </c>
    </row>
    <row r="85" spans="1:8" x14ac:dyDescent="0.3">
      <c r="A85" s="184">
        <v>81</v>
      </c>
    </row>
    <row r="86" spans="1:8" x14ac:dyDescent="0.3">
      <c r="A86" s="184">
        <v>82</v>
      </c>
    </row>
    <row r="87" spans="1:8" x14ac:dyDescent="0.3">
      <c r="A87" s="184">
        <v>83</v>
      </c>
    </row>
    <row r="88" spans="1:8" x14ac:dyDescent="0.3">
      <c r="A88" s="184">
        <v>84</v>
      </c>
      <c r="H88" s="186"/>
    </row>
    <row r="89" spans="1:8" x14ac:dyDescent="0.3">
      <c r="A89" s="184">
        <v>85</v>
      </c>
      <c r="H89" s="186"/>
    </row>
    <row r="90" spans="1:8" x14ac:dyDescent="0.3">
      <c r="A90" s="184">
        <v>86</v>
      </c>
      <c r="H90" s="186"/>
    </row>
    <row r="91" spans="1:8" x14ac:dyDescent="0.3">
      <c r="A91" s="184">
        <v>87</v>
      </c>
      <c r="H91" s="186"/>
    </row>
    <row r="92" spans="1:8" x14ac:dyDescent="0.3">
      <c r="A92" s="184">
        <v>88</v>
      </c>
      <c r="H92" s="186"/>
    </row>
    <row r="93" spans="1:8" x14ac:dyDescent="0.3">
      <c r="A93" s="184">
        <v>89</v>
      </c>
      <c r="H93" s="186"/>
    </row>
    <row r="94" spans="1:8" x14ac:dyDescent="0.3">
      <c r="A94" s="184">
        <v>90</v>
      </c>
      <c r="H94" s="186"/>
    </row>
    <row r="95" spans="1:8" x14ac:dyDescent="0.3">
      <c r="A95" s="184">
        <v>91</v>
      </c>
      <c r="H95" s="186"/>
    </row>
    <row r="96" spans="1:8" x14ac:dyDescent="0.3">
      <c r="A96" s="184">
        <v>92</v>
      </c>
      <c r="H96" s="186"/>
    </row>
    <row r="97" spans="1:8" x14ac:dyDescent="0.3">
      <c r="A97" s="184">
        <v>93</v>
      </c>
      <c r="H97" s="186"/>
    </row>
    <row r="98" spans="1:8" x14ac:dyDescent="0.3">
      <c r="A98" s="184">
        <v>94</v>
      </c>
      <c r="H98" s="186"/>
    </row>
    <row r="99" spans="1:8" x14ac:dyDescent="0.3">
      <c r="A99" s="184">
        <v>95</v>
      </c>
      <c r="H99" s="186"/>
    </row>
    <row r="100" spans="1:8" x14ac:dyDescent="0.3">
      <c r="A100" s="184">
        <v>96</v>
      </c>
      <c r="H100" s="186"/>
    </row>
    <row r="101" spans="1:8" x14ac:dyDescent="0.3">
      <c r="A101" s="184">
        <v>97</v>
      </c>
      <c r="H101" s="186"/>
    </row>
    <row r="102" spans="1:8" x14ac:dyDescent="0.3">
      <c r="A102" s="184">
        <v>98</v>
      </c>
      <c r="H102" s="186"/>
    </row>
    <row r="103" spans="1:8" x14ac:dyDescent="0.3">
      <c r="A103" s="184">
        <v>99</v>
      </c>
      <c r="H103" s="186"/>
    </row>
    <row r="104" spans="1:8" x14ac:dyDescent="0.3">
      <c r="A104" s="184">
        <v>100</v>
      </c>
      <c r="H104" s="186"/>
    </row>
    <row r="105" spans="1:8" x14ac:dyDescent="0.3">
      <c r="H105" s="186"/>
    </row>
  </sheetData>
  <autoFilter ref="A2:I105" xr:uid="{2A148325-CDA8-407B-B18C-B9620BEEB0B8}"/>
  <phoneticPr fontId="6"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7709ec3-4993-47e9-b332-0a36c760d557">
      <Terms xmlns="http://schemas.microsoft.com/office/infopath/2007/PartnerControls"/>
    </lcf76f155ced4ddcb4097134ff3c332f>
    <TaxCatchAll xmlns="d759b8d8-ed21-49e4-bf57-0793fb95f9f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1AE6AA330E404E95871CB2BCFA6FB7" ma:contentTypeVersion="12" ma:contentTypeDescription="Een nieuw document maken." ma:contentTypeScope="" ma:versionID="87c311a958aad1c337e470989f397f21">
  <xsd:schema xmlns:xsd="http://www.w3.org/2001/XMLSchema" xmlns:xs="http://www.w3.org/2001/XMLSchema" xmlns:p="http://schemas.microsoft.com/office/2006/metadata/properties" xmlns:ns2="67709ec3-4993-47e9-b332-0a36c760d557" xmlns:ns3="d759b8d8-ed21-49e4-bf57-0793fb95f9f7" targetNamespace="http://schemas.microsoft.com/office/2006/metadata/properties" ma:root="true" ma:fieldsID="531f88864ddbd2abb84fbbf4d1ec467e" ns2:_="" ns3:_="">
    <xsd:import namespace="67709ec3-4993-47e9-b332-0a36c760d557"/>
    <xsd:import namespace="d759b8d8-ed21-49e4-bf57-0793fb95f9f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709ec3-4993-47e9-b332-0a36c760d5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7745904b-4a30-4acb-a2b1-33f6399f4dc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759b8d8-ed21-49e4-bf57-0793fb95f9f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4e45278-f6ed-4e3d-b0a7-7d442638afaf}" ma:internalName="TaxCatchAll" ma:showField="CatchAllData" ma:web="d759b8d8-ed21-49e4-bf57-0793fb95f9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2883DB-E445-49F5-8D78-2115B3498D6E}">
  <ds:schemaRefs>
    <ds:schemaRef ds:uri="http://purl.org/dc/terms/"/>
    <ds:schemaRef ds:uri="d759b8d8-ed21-49e4-bf57-0793fb95f9f7"/>
    <ds:schemaRef ds:uri="http://schemas.microsoft.com/office/2006/metadata/properties"/>
    <ds:schemaRef ds:uri="http://purl.org/dc/elements/1.1/"/>
    <ds:schemaRef ds:uri="http://schemas.microsoft.com/office/2006/documentManagement/types"/>
    <ds:schemaRef ds:uri="http://purl.org/dc/dcmitype/"/>
    <ds:schemaRef ds:uri="http://schemas.microsoft.com/office/infopath/2007/PartnerControls"/>
    <ds:schemaRef ds:uri="67709ec3-4993-47e9-b332-0a36c760d557"/>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10C3AE4-6EAC-4E62-8A65-E3E85BE78CEC}">
  <ds:schemaRefs>
    <ds:schemaRef ds:uri="http://schemas.microsoft.com/sharepoint/v3/contenttype/forms"/>
  </ds:schemaRefs>
</ds:datastoreItem>
</file>

<file path=customXml/itemProps3.xml><?xml version="1.0" encoding="utf-8"?>
<ds:datastoreItem xmlns:ds="http://schemas.openxmlformats.org/officeDocument/2006/customXml" ds:itemID="{502ED62F-710B-40E7-9881-C48E1078FB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15</vt:i4>
      </vt:variant>
    </vt:vector>
  </HeadingPairs>
  <TitlesOfParts>
    <vt:vector size="23"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DuurToewijzing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Johan Meijerink</cp:lastModifiedBy>
  <cp:revision/>
  <cp:lastPrinted>2024-10-25T08:02:03Z</cp:lastPrinted>
  <dcterms:created xsi:type="dcterms:W3CDTF">2022-04-08T08:09:13Z</dcterms:created>
  <dcterms:modified xsi:type="dcterms:W3CDTF">2026-01-29T16:49:57Z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0x010100F21AE6AA330E404E95871CB2BCFA6FB7</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GUID">
    <vt:lpwstr>d623a9cd-f8b7-46c4-834b-973f080d387e</vt:lpwstr>
  </property>
  <property fmtid="{D5CDD505-2E9C-101B-9397-08002B2CF9AE}" pid="11" name="SharedWithUsers">
    <vt:lpwstr/>
  </property>
</Properties>
</file>